
<file path=[Content_Types].xml><?xml version="1.0" encoding="utf-8"?>
<Types xmlns="http://schemas.openxmlformats.org/package/2006/content-types">
  <Default Extension="bin" ContentType="application/vnd.ms-office.activeX"/>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activeX/activeX1.xml" ContentType="application/vnd.ms-office.activeX+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rinterSettings/printerSettings1.bin" ContentType="application/vnd.openxmlformats-officedocument.spreadsheetml.printerSettings"/>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printerSettings/printerSettings2.bin" ContentType="application/vnd.openxmlformats-officedocument.spreadsheetml.printerSettings"/>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cverltd-my.sharepoint.com/personal/martinsmolka_ncver_edu_au/Documents/A&amp;T/125/squiz files/"/>
    </mc:Choice>
  </mc:AlternateContent>
  <xr:revisionPtr revIDLastSave="0" documentId="8_{80F774A6-D30A-433C-91CF-D461AAF3A7C8}" xr6:coauthVersionLast="47" xr6:coauthVersionMax="47" xr10:uidLastSave="{00000000-0000-0000-0000-000000000000}"/>
  <workbookProtection workbookAlgorithmName="SHA-512" workbookHashValue="7rSLr2IGPR96ZHnGKEv/Ygd+T9eWYes3W54eFy1gRh21ED1tgdZj1MgCJBNKZl8HwjN0zxEXdWDwctX3VLAWBA==" workbookSaltValue="MeTAkokFftQ2pRgWrnTY/Q==" workbookSpinCount="100000" lockStructure="1"/>
  <bookViews>
    <workbookView showVerticalScroll="0" xWindow="-120" yWindow="-120" windowWidth="38640" windowHeight="21240" xr2:uid="{00000000-000D-0000-FFFF-FFFF00000000}"/>
  </bookViews>
  <sheets>
    <sheet name="Introduction" sheetId="16" r:id="rId1"/>
    <sheet name="Analysis table" sheetId="20" state="hidden" r:id="rId2"/>
    <sheet name="Glossary and explanatory notes" sheetId="17" r:id="rId3"/>
    <sheet name="Pivot tables" sheetId="14" state="hidden" r:id="rId4"/>
    <sheet name="DASHBOARD" sheetId="10" r:id="rId5"/>
    <sheet name="Review quarters" sheetId="7" r:id="rId6"/>
    <sheet name="Data validation" sheetId="6" state="hidden" r:id="rId7"/>
    <sheet name="Copyright information" sheetId="18" r:id="rId8"/>
  </sheets>
  <definedNames>
    <definedName name="_AMO_ContentDefinition_239611856" hidden="1">"'Partitions:13'"</definedName>
    <definedName name="_AMO_ContentDefinition_239611856.0" hidden="1">"'&lt;ContentDefinition name=""Q:\working\data_services\aat-apprentice-and-trainee\Estimates Review\analysis.sas7bdat"" rsid=""239611856"" type=""DataSet"" format=""ReportXml"" imgfmt=""ActiveX"" created=""07/26/2024 11:10:13"" modifed=""10/20/2025 15:24'"</definedName>
    <definedName name="_AMO_ContentDefinition_239611856.1" hidden="1">"':11"" user=""Brian Rathod"" apply=""False"" css=""C:\Program Files\SASHome\SASAddinforMicrosoftOffice\7.1\Styles\AMODefault.css"" range=""Q__working_data_services_aat_app_2"" auto=""False"" xTime=""00:00:00.0049835"" rTime=""00:00:01.7148367"" bgne'"</definedName>
    <definedName name="_AMO_ContentDefinition_239611856.10" hidden="1">"'t;&amp;quot; Name=&amp;quot;Q:\working\data_services\aat-apprentice-and-trainee\Estimates Review\analysis.sas7bdat&amp;quot; /&amp;gt;"" /&gt;_x000D_
  &lt;param n=""ExcelTableColumnCount"" v=""16"" /&gt;_x000D_
  &lt;param n=""ExcelTableRowCount"" v=""288"" /&gt;_x000D_
  &lt;param n=""DataRowCount'"</definedName>
    <definedName name="_AMO_ContentDefinition_239611856.11" hidden="1">"'"" v=""288"" /&gt;_x000D_
  &lt;param n=""DataColCount"" v=""15"" /&gt;_x000D_
  &lt;param n=""ObsColumn"" v=""true"" /&gt;_x000D_
  &lt;param n=""ExcelFormattingHash"" v=""-1531245670"" /&gt;_x000D_
  &lt;param n=""ExcelFormatting"" v=""Automatic"" /&gt;_x000D_
  &lt;ExcelXMLOptions AdjColWidths=""True"" Ro'"</definedName>
    <definedName name="_AMO_ContentDefinition_239611856.12" hidden="1">"'wOpt=""InsertCells"" ColOpt=""InsertCells"" /&gt;_x000D_
&lt;/ContentDefinition&gt;'"</definedName>
    <definedName name="_AMO_ContentDefinition_239611856.2" hidden="1">"'w=""False"" nFmt=""False"" grphSet=""True"" imgY=""0"" imgX=""0"" redirect=""False""&gt;_x000D_
  &lt;files /&gt;_x000D_
  &lt;parents /&gt;_x000D_
  &lt;children /&gt;_x000D_
  &lt;param n=""AMO_Version"" v=""7.1"" /&gt;_x000D_
  &lt;param n=""DisplayName"" v=""Q:\working\data_services\aat-apprentice-and-trai'"</definedName>
    <definedName name="_AMO_ContentDefinition_239611856.3" hidden="1">"'nee\Estimates Review\analysis.sas7bdat"" /&gt;_x000D_
  &lt;param n=""DisplayType"" v=""Data Set"" /&gt;_x000D_
  &lt;param n=""DataSourceType"" v=""SAS DATASET"" /&gt;_x000D_
  &lt;param n=""SASFilter"" v="""" /&gt;_x000D_
  &lt;param n=""MoreSheetsForRows"" v=""True"" /&gt;_x000D_
  &lt;param n=""PageSize'"</definedName>
    <definedName name="_AMO_ContentDefinition_239611856.4" hidden="1">"'"" v=""500"" /&gt;_x000D_
  &lt;param n=""ShowRowNumbers"" v=""True"" /&gt;_x000D_
  &lt;param n=""ShowInfoInSheet"" v=""False"" /&gt;_x000D_
  &lt;param n=""CredKey"" v=""Q:\working\data_services\aat-apprentice-and-trainee\Estimates Review\analysis.sas7bdat"" /&gt;_x000D_
  &lt;param n=""ClassNa'"</definedName>
    <definedName name="_AMO_ContentDefinition_239611856.5" hidden="1">"'me"" v=""SAS.OfficeAddin.DataViewItem"" /&gt;_x000D_
  &lt;param n=""ServerName"" v="""" /&gt;_x000D_
  &lt;param n=""DataSource"" v=""&amp;lt;SasDataSource Version=&amp;quot;4.2&amp;quot; Type=&amp;quot;SAS.Servers.Dataset&amp;quot; FilterDS=&amp;quot;&amp;amp;lt;?xml version=&amp;amp;quot;1.0&amp;amp;quot; e'"</definedName>
    <definedName name="_AMO_ContentDefinition_239611856.6" hidden="1">"'ncoding=&amp;amp;quot;utf-16&amp;amp;quot;?&amp;amp;gt;&amp;amp;lt;FilterTree&amp;amp;gt;&amp;amp;lt;TreeRoot /&amp;amp;gt;&amp;amp;lt;/FilterTree&amp;amp;gt;&amp;quot; ColSelFlg=&amp;quot;0&amp;quot; DNA=&amp;quot;&amp;amp;lt;DNA&amp;amp;gt;&amp;amp;#xD;&amp;amp;#xA;  &amp;amp;lt;Type&amp;amp;gt;LocalFile&amp;amp;lt;/Type&amp;amp;gt'"</definedName>
    <definedName name="_AMO_ContentDefinition_239611856.7" hidden="1">"';&amp;amp;#xD;&amp;amp;#xA;  &amp;amp;lt;Name&amp;amp;gt;analysis.sas7bdat&amp;amp;lt;/Name&amp;amp;gt;&amp;amp;#xD;&amp;amp;#xA;  &amp;amp;lt;Version&amp;amp;gt;1&amp;amp;lt;/Version&amp;amp;gt;&amp;amp;#xD;&amp;amp;#xA;  &amp;amp;lt;Assembly /&amp;amp;gt;&amp;amp;#xD;&amp;amp;#xA;  &amp;amp;lt;Factory /&amp;amp;gt;&amp;amp;#xD;&amp;amp'"</definedName>
    <definedName name="_AMO_ContentDefinition_239611856.8" hidden="1">"';#xA;  &amp;amp;lt;ParentName&amp;amp;gt;Estimates Review&amp;amp;lt;/ParentName&amp;amp;gt;&amp;amp;#xD;&amp;amp;#xA;  &amp;amp;lt;Delimiter&amp;amp;gt;\&amp;amp;lt;/Delimiter&amp;amp;gt;&amp;amp;#xD;&amp;amp;#xA;  &amp;amp;lt;FullPath&amp;amp;gt;Q:\working\data_services\aat-apprentice-and-trainee\Estimat'"</definedName>
    <definedName name="_AMO_ContentDefinition_239611856.9" hidden="1">"'es Review\analysis.sas7bdat&amp;amp;lt;/FullPath&amp;amp;gt;&amp;amp;#xD;&amp;amp;#xA;  &amp;amp;lt;RelativePath&amp;amp;gt;Q:\working\data_services\aat-apprentice-and-trainee\Estimates Review\analysis.sas7bdat&amp;amp;lt;/RelativePath&amp;amp;gt;&amp;amp;#xD;&amp;amp;#xA;&amp;amp;lt;/DNA&amp;amp;g'"</definedName>
    <definedName name="_AMO_ContentLocation_239611856__A1" hidden="1">"'Partitions:2'"</definedName>
    <definedName name="_AMO_ContentLocation_239611856__A1.0" hidden="1">"'&lt;ContentLocation path=""A1"" rsid=""239611856"" tag="""" fid=""0""&gt;_x000D_
  &lt;param n=""_NumRows"" v=""289"" /&gt;_x000D_
  &lt;param n=""_NumCols"" v=""16"" /&gt;_x000D_
  &lt;param n=""SASDataState"" v=""none"" /&gt;_x000D_
  &lt;param n=""SASDataStart"" v=""1"" /&gt;_x000D_
  &lt;param n=""SASDataE'"</definedName>
    <definedName name="_AMO_ContentLocation_239611856__A1.1" hidden="1">"'nd"" v=""288"" /&gt;_x000D_
&lt;/ContentLocation&gt;'"</definedName>
    <definedName name="_AMO_RefreshMultipleList" hidden="1">"'&lt;Items&gt;_x000D_
  &lt;Item Id=""295476121"" Checked=""True"" /&gt;_x000D_
&lt;/Items&gt;'"</definedName>
    <definedName name="_AMO_SingleObject_239611856__A1" hidden="1">'Analysis table'!$B$1:$Q$289</definedName>
    <definedName name="_AMO_XmlVersion" hidden="1">"'1'"</definedName>
    <definedName name="Arrow1">INDIRECT('Data validation'!$R$2)</definedName>
    <definedName name="Arrow2">INDIRECT('Data validation'!$R$3)</definedName>
    <definedName name="Arrow3">INDIRECT('Data validation'!$R$4)</definedName>
    <definedName name="Arrow4">INDIRECT('Data validation'!$R$5)</definedName>
    <definedName name="Down">'Data validation'!$S$1</definedName>
    <definedName name="N">'Data validation'!$O$1</definedName>
    <definedName name="None">'Data validation'!$T$1</definedName>
    <definedName name="None1">'Data validation'!$P$1</definedName>
    <definedName name="Picture1">INDIRECT('Data validation'!$N$2)</definedName>
    <definedName name="Picture2">INDIRECT('Data validation'!$N$3)</definedName>
    <definedName name="Picture3">INDIRECT('Data validation'!$N$4)</definedName>
    <definedName name="Picture4">INDIRECT('Data validation'!$N$5)</definedName>
    <definedName name="_xlnm.Print_Area" localSheetId="4">DASHBOARD!$B$2:$AJ$48</definedName>
    <definedName name="Slicer_contract">#N/A</definedName>
    <definedName name="Slicer_review_quarter">#N/A</definedName>
    <definedName name="Slicer_State">#N/A</definedName>
    <definedName name="Slicer_type">#N/A</definedName>
    <definedName name="Up">'Data validation'!$R$1</definedName>
    <definedName name="Y">'Data validation'!$N$1</definedName>
  </definedNames>
  <calcPr calcId="191029"/>
  <pivotCaches>
    <pivotCache cacheId="0" r:id="rId9"/>
  </pivotCaches>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7" l="1"/>
  <c r="A2" i="20"/>
  <c r="A3" i="20"/>
  <c r="A4"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R2" i="20"/>
  <c r="M24" i="14"/>
  <c r="A390" i="20" l="1"/>
  <c r="A362" i="20"/>
  <c r="A360" i="20"/>
  <c r="A361"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M3" i="6" l="1"/>
  <c r="M2" i="6"/>
  <c r="N2" i="6" s="1"/>
  <c r="M4" i="6"/>
  <c r="M5" i="6"/>
  <c r="L25" i="14"/>
  <c r="M25" i="14"/>
  <c r="N25" i="14"/>
  <c r="L26" i="14"/>
  <c r="M26" i="14"/>
  <c r="N26" i="14"/>
  <c r="L27" i="14"/>
  <c r="M27" i="14"/>
  <c r="N27" i="14"/>
  <c r="N24" i="14"/>
  <c r="L24" i="14"/>
  <c r="K25" i="14"/>
  <c r="K26" i="14"/>
  <c r="K27" i="14"/>
  <c r="AE23" i="10"/>
  <c r="AE19" i="10"/>
  <c r="AE17" i="10"/>
  <c r="AE21" i="10"/>
  <c r="K24" i="14"/>
  <c r="Q25" i="14"/>
  <c r="R25" i="14"/>
  <c r="S25" i="14"/>
  <c r="Q26" i="14"/>
  <c r="R26" i="14"/>
  <c r="S26" i="14"/>
  <c r="Q27" i="14"/>
  <c r="R27" i="14"/>
  <c r="S27" i="14"/>
  <c r="R24" i="14"/>
  <c r="Q24" i="14"/>
  <c r="L23" i="14" l="1"/>
  <c r="M23" i="14"/>
  <c r="N23" i="14"/>
  <c r="K23" i="14"/>
  <c r="F24" i="14"/>
  <c r="G24" i="14"/>
  <c r="H24" i="14"/>
  <c r="I24" i="14"/>
  <c r="F25" i="14"/>
  <c r="G25" i="14"/>
  <c r="H25" i="14"/>
  <c r="I25" i="14"/>
  <c r="F26" i="14"/>
  <c r="G26" i="14"/>
  <c r="H26" i="14"/>
  <c r="I26" i="14"/>
  <c r="F27" i="14"/>
  <c r="G27" i="14"/>
  <c r="H27" i="14"/>
  <c r="I27" i="14"/>
  <c r="G23" i="14"/>
  <c r="H23" i="14"/>
  <c r="I23" i="14"/>
  <c r="F23" i="14"/>
  <c r="A24" i="14"/>
  <c r="B24" i="14"/>
  <c r="C24" i="14"/>
  <c r="D24" i="14"/>
  <c r="A25" i="14"/>
  <c r="B25" i="14"/>
  <c r="C25" i="14"/>
  <c r="D25" i="14"/>
  <c r="A26" i="14"/>
  <c r="B26" i="14"/>
  <c r="C26" i="14"/>
  <c r="D26" i="14"/>
  <c r="A27" i="14"/>
  <c r="B27" i="14"/>
  <c r="C27" i="14"/>
  <c r="D27" i="14"/>
  <c r="B23" i="14"/>
  <c r="C23" i="14"/>
  <c r="D23" i="14"/>
  <c r="A23" i="14"/>
  <c r="N12" i="6" l="1"/>
  <c r="M12" i="6"/>
  <c r="M16" i="6" l="1"/>
  <c r="Q3" i="6" l="1"/>
  <c r="R3" i="6" s="1"/>
  <c r="Q4" i="6"/>
  <c r="R4" i="6" s="1"/>
  <c r="Q5" i="6"/>
  <c r="R5" i="6" s="1"/>
  <c r="Q2" i="6"/>
  <c r="R2" i="6" s="1"/>
  <c r="AD23" i="10"/>
  <c r="AC23" i="10"/>
  <c r="AB23" i="10"/>
  <c r="H24" i="10" s="1"/>
  <c r="AD21" i="10"/>
  <c r="AC21" i="10"/>
  <c r="AB21" i="10"/>
  <c r="H21" i="10" s="1"/>
  <c r="AD19" i="10"/>
  <c r="AC19" i="10"/>
  <c r="AB19" i="10"/>
  <c r="H18" i="10" s="1"/>
  <c r="AF19" i="10" l="1"/>
  <c r="AF21" i="10"/>
  <c r="AF23" i="10"/>
  <c r="AG9" i="6" l="1"/>
  <c r="AF9" i="6"/>
  <c r="AE9" i="6"/>
  <c r="AD9" i="6"/>
  <c r="AC9" i="6"/>
  <c r="AB9" i="6"/>
  <c r="AA9" i="6"/>
  <c r="Z9" i="6"/>
  <c r="Y9" i="6"/>
  <c r="AG7" i="6"/>
  <c r="AF7" i="6"/>
  <c r="AE7" i="6"/>
  <c r="AD7" i="6"/>
  <c r="AC7" i="6"/>
  <c r="AB7" i="6"/>
  <c r="AA7" i="6"/>
  <c r="Z7" i="6"/>
  <c r="Y7" i="6"/>
  <c r="AG5" i="6"/>
  <c r="AF5" i="6"/>
  <c r="AE5" i="6"/>
  <c r="AD5" i="6"/>
  <c r="AC5" i="6"/>
  <c r="AB5" i="6"/>
  <c r="AA5" i="6"/>
  <c r="Z5" i="6"/>
  <c r="Y5" i="6"/>
  <c r="W9" i="6"/>
  <c r="X9" i="6"/>
  <c r="V9" i="6"/>
  <c r="W7" i="6"/>
  <c r="X7" i="6"/>
  <c r="V7" i="6"/>
  <c r="W5" i="6"/>
  <c r="X5" i="6"/>
  <c r="V5" i="6"/>
  <c r="N3" i="6" l="1"/>
  <c r="N5" i="6"/>
  <c r="N4" i="6"/>
  <c r="AD17" i="10"/>
  <c r="AC17" i="10" l="1"/>
  <c r="AF17" i="10" s="1"/>
  <c r="AB17" i="10"/>
  <c r="H15" i="10" s="1"/>
  <c r="P25" i="14" l="1"/>
  <c r="P26" i="14"/>
  <c r="P27" i="14"/>
  <c r="S24" i="14"/>
  <c r="P24" i="14"/>
  <c r="G26" i="7" l="1"/>
  <c r="F26" i="7"/>
  <c r="E26" i="7"/>
  <c r="D26" i="7"/>
  <c r="O26" i="7"/>
  <c r="N26" i="7"/>
  <c r="M26" i="7"/>
  <c r="L26" i="7"/>
  <c r="K26" i="7"/>
  <c r="J26" i="7"/>
  <c r="I26" i="7"/>
  <c r="H26" i="7"/>
  <c r="K16" i="7"/>
  <c r="J16" i="7"/>
  <c r="I16" i="7"/>
  <c r="H16" i="7"/>
  <c r="G16" i="7"/>
  <c r="F16" i="7"/>
  <c r="E16" i="7"/>
  <c r="D16" i="7"/>
  <c r="J5" i="6"/>
  <c r="J6" i="6" s="1"/>
  <c r="J7" i="6" s="1"/>
  <c r="J8" i="6" s="1"/>
  <c r="J9" i="6" s="1"/>
  <c r="J10" i="6" s="1"/>
  <c r="J11" i="6" s="1"/>
  <c r="J12" i="6" s="1"/>
  <c r="J13" i="6" s="1"/>
  <c r="J14" i="6" s="1"/>
  <c r="J15" i="6" s="1"/>
  <c r="J16" i="6" s="1"/>
  <c r="J17" i="6" s="1"/>
  <c r="J18" i="6" s="1"/>
  <c r="J19" i="6" s="1"/>
  <c r="J20" i="6" s="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I5" i="6"/>
  <c r="K5" i="6" s="1"/>
  <c r="G5" i="6"/>
  <c r="G6" i="6" s="1"/>
  <c r="G7" i="6" s="1"/>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F5" i="6"/>
  <c r="F6" i="6" s="1"/>
  <c r="H6" i="6" s="1"/>
  <c r="I6" i="6" l="1"/>
  <c r="H5" i="6"/>
  <c r="F7" i="6"/>
  <c r="K6" i="6" l="1"/>
  <c r="I7" i="6"/>
  <c r="H7" i="6"/>
  <c r="F8" i="6"/>
  <c r="K7" i="6" l="1"/>
  <c r="I8" i="6"/>
  <c r="H8" i="6"/>
  <c r="F9" i="6"/>
  <c r="I9" i="6" l="1"/>
  <c r="K8" i="6"/>
  <c r="H9" i="6"/>
  <c r="F10" i="6"/>
  <c r="K9" i="6" l="1"/>
  <c r="I10" i="6"/>
  <c r="H10" i="6"/>
  <c r="F11" i="6"/>
  <c r="I11" i="6" l="1"/>
  <c r="K10" i="6"/>
  <c r="H11" i="6"/>
  <c r="F12" i="6"/>
  <c r="K11" i="6" l="1"/>
  <c r="I12" i="6"/>
  <c r="H12" i="6"/>
  <c r="F13" i="6"/>
  <c r="K12" i="6" l="1"/>
  <c r="I13" i="6"/>
  <c r="F14" i="6"/>
  <c r="H13" i="6"/>
  <c r="K13" i="6" l="1"/>
  <c r="I14" i="6"/>
  <c r="H14" i="6"/>
  <c r="F15" i="6"/>
  <c r="K14" i="6" l="1"/>
  <c r="I15" i="6"/>
  <c r="F16" i="6"/>
  <c r="H15" i="6"/>
  <c r="K15" i="6" l="1"/>
  <c r="I16" i="6"/>
  <c r="H16" i="6"/>
  <c r="D27" i="7" s="1"/>
  <c r="F17" i="6"/>
  <c r="I17" i="6" l="1"/>
  <c r="K16" i="6"/>
  <c r="D28" i="7" s="1"/>
  <c r="F18" i="6"/>
  <c r="H17" i="6"/>
  <c r="E27" i="7" s="1"/>
  <c r="K17" i="6" l="1"/>
  <c r="E28" i="7" s="1"/>
  <c r="C29" i="7" s="1"/>
  <c r="I18" i="6"/>
  <c r="H18" i="6"/>
  <c r="F27" i="7" s="1"/>
  <c r="F19" i="6"/>
  <c r="K18" i="6" l="1"/>
  <c r="F28" i="7" s="1"/>
  <c r="C30" i="7" s="1"/>
  <c r="I19" i="6"/>
  <c r="H19" i="6"/>
  <c r="G27" i="7" s="1"/>
  <c r="F20" i="6"/>
  <c r="I20" i="6" l="1"/>
  <c r="K19" i="6"/>
  <c r="G28" i="7" s="1"/>
  <c r="C31" i="7" s="1"/>
  <c r="H20" i="6"/>
  <c r="F21" i="6"/>
  <c r="H27" i="7" l="1"/>
  <c r="D17" i="7"/>
  <c r="I21" i="6"/>
  <c r="K20" i="6"/>
  <c r="H21" i="6"/>
  <c r="F22" i="6"/>
  <c r="E17" i="7" l="1"/>
  <c r="I27" i="7"/>
  <c r="D18" i="7"/>
  <c r="H28" i="7"/>
  <c r="C32" i="7" s="1"/>
  <c r="K21" i="6"/>
  <c r="I22" i="6"/>
  <c r="H22" i="6"/>
  <c r="F23" i="6"/>
  <c r="F17" i="7" l="1"/>
  <c r="J27" i="7"/>
  <c r="B45" i="7"/>
  <c r="B75" i="16"/>
  <c r="E18" i="7"/>
  <c r="C19" i="7" s="1"/>
  <c r="I28" i="7"/>
  <c r="K22" i="6"/>
  <c r="I23" i="6"/>
  <c r="F24" i="6"/>
  <c r="H23" i="6"/>
  <c r="K27" i="7" l="1"/>
  <c r="G17" i="7"/>
  <c r="F18" i="7"/>
  <c r="C20" i="7" s="1"/>
  <c r="J28" i="7"/>
  <c r="K23" i="6"/>
  <c r="I24" i="6"/>
  <c r="H24" i="6"/>
  <c r="F25" i="6"/>
  <c r="L27" i="7" l="1"/>
  <c r="H17" i="7"/>
  <c r="K28" i="7"/>
  <c r="G18" i="7"/>
  <c r="C21" i="7" s="1"/>
  <c r="K24" i="6"/>
  <c r="I25" i="6"/>
  <c r="H25" i="6"/>
  <c r="F26" i="6"/>
  <c r="H18" i="7" l="1"/>
  <c r="C22" i="7" s="1"/>
  <c r="B39" i="7" s="1"/>
  <c r="L28" i="7"/>
  <c r="I17" i="7"/>
  <c r="M27" i="7"/>
  <c r="K25" i="6"/>
  <c r="I26" i="6"/>
  <c r="H26" i="6"/>
  <c r="F27" i="6"/>
  <c r="N27" i="7" l="1"/>
  <c r="J17" i="7"/>
  <c r="M28" i="7"/>
  <c r="I18" i="7"/>
  <c r="B71" i="16"/>
  <c r="I27" i="6"/>
  <c r="K26" i="6"/>
  <c r="F28" i="6"/>
  <c r="H27" i="6"/>
  <c r="N28" i="7" l="1"/>
  <c r="J18" i="7"/>
  <c r="O27" i="7"/>
  <c r="K17" i="7"/>
  <c r="K27" i="6"/>
  <c r="I28" i="6"/>
  <c r="H28" i="6"/>
  <c r="F29" i="6"/>
  <c r="K18" i="7" l="1"/>
  <c r="O28" i="7"/>
  <c r="I29" i="6"/>
  <c r="K28" i="6"/>
  <c r="H29" i="6"/>
  <c r="F30" i="6"/>
  <c r="K29" i="6" l="1"/>
  <c r="I30" i="6"/>
  <c r="H30" i="6"/>
  <c r="F31" i="6"/>
  <c r="K30" i="6" l="1"/>
  <c r="I31" i="6"/>
  <c r="F32" i="6"/>
  <c r="H31" i="6"/>
  <c r="K31" i="6" l="1"/>
  <c r="I32" i="6"/>
  <c r="H32" i="6"/>
  <c r="F33" i="6"/>
  <c r="H33" i="6" l="1"/>
  <c r="F34" i="6"/>
  <c r="I33" i="6"/>
  <c r="K32" i="6"/>
  <c r="H34" i="6" l="1"/>
  <c r="F35" i="6"/>
  <c r="K33" i="6"/>
  <c r="I34" i="6"/>
  <c r="K34" i="6" l="1"/>
  <c r="I35" i="6"/>
  <c r="H35" i="6"/>
  <c r="F36" i="6"/>
  <c r="F37" i="6" l="1"/>
  <c r="H36" i="6"/>
  <c r="K35" i="6"/>
  <c r="I36" i="6"/>
  <c r="K36" i="6" l="1"/>
  <c r="I37" i="6"/>
  <c r="H37" i="6"/>
  <c r="F38" i="6"/>
  <c r="F39" i="6" l="1"/>
  <c r="H38" i="6"/>
  <c r="I38" i="6"/>
  <c r="K37" i="6"/>
  <c r="I39" i="6" l="1"/>
  <c r="K38" i="6"/>
  <c r="H39" i="6"/>
  <c r="F40" i="6"/>
  <c r="F41" i="6" l="1"/>
  <c r="H40" i="6"/>
  <c r="K39" i="6"/>
  <c r="I40" i="6"/>
  <c r="K40" i="6" l="1"/>
  <c r="I41" i="6"/>
  <c r="H41" i="6"/>
  <c r="F42" i="6"/>
  <c r="F43" i="6" l="1"/>
  <c r="H42" i="6"/>
  <c r="K41" i="6"/>
  <c r="I42" i="6"/>
  <c r="K42" i="6" l="1"/>
  <c r="I43" i="6"/>
  <c r="H43" i="6"/>
  <c r="F44" i="6"/>
  <c r="F45" i="6" l="1"/>
  <c r="H44" i="6"/>
  <c r="K43" i="6"/>
  <c r="I44" i="6"/>
  <c r="K44" i="6" l="1"/>
  <c r="I45" i="6"/>
  <c r="F46" i="6"/>
  <c r="H45" i="6"/>
  <c r="I46" i="6" l="1"/>
  <c r="K45" i="6"/>
  <c r="H46" i="6"/>
  <c r="F47" i="6"/>
  <c r="H47" i="6" l="1"/>
  <c r="F48" i="6"/>
  <c r="K46" i="6"/>
  <c r="I47" i="6"/>
  <c r="K47" i="6" l="1"/>
  <c r="I48" i="6"/>
  <c r="F49" i="6"/>
  <c r="H48" i="6"/>
  <c r="I49" i="6" l="1"/>
  <c r="K48" i="6"/>
  <c r="H49" i="6"/>
  <c r="F50" i="6"/>
  <c r="H50" i="6" l="1"/>
  <c r="F51" i="6"/>
  <c r="K49" i="6"/>
  <c r="I50" i="6"/>
  <c r="I51" i="6" l="1"/>
  <c r="K50" i="6"/>
  <c r="H51" i="6"/>
  <c r="F52" i="6"/>
  <c r="F53" i="6" l="1"/>
  <c r="H52" i="6"/>
  <c r="K51" i="6"/>
  <c r="I52" i="6"/>
  <c r="K52" i="6" l="1"/>
  <c r="I53" i="6"/>
  <c r="H53" i="6"/>
  <c r="F54" i="6"/>
  <c r="F55" i="6" l="1"/>
  <c r="H54" i="6"/>
  <c r="I54" i="6"/>
  <c r="K53" i="6"/>
  <c r="I55" i="6" l="1"/>
  <c r="K54" i="6"/>
  <c r="F56" i="6"/>
  <c r="H55" i="6"/>
  <c r="H56" i="6" l="1"/>
  <c r="F57" i="6"/>
  <c r="K55" i="6"/>
  <c r="I56" i="6"/>
  <c r="K56" i="6" l="1"/>
  <c r="I57" i="6"/>
  <c r="H57" i="6"/>
  <c r="F58" i="6"/>
  <c r="H58" i="6" l="1"/>
  <c r="F59" i="6"/>
  <c r="K57" i="6"/>
  <c r="I58" i="6"/>
  <c r="I59" i="6" l="1"/>
  <c r="K58" i="6"/>
  <c r="H59" i="6"/>
  <c r="F60" i="6"/>
  <c r="H60" i="6" l="1"/>
  <c r="F61" i="6"/>
  <c r="K59" i="6"/>
  <c r="I60" i="6"/>
  <c r="I61" i="6" l="1"/>
  <c r="K60" i="6"/>
  <c r="F62" i="6"/>
  <c r="H61" i="6"/>
  <c r="H62" i="6" l="1"/>
  <c r="F63" i="6"/>
  <c r="K61" i="6"/>
  <c r="I62" i="6"/>
  <c r="K62" i="6" l="1"/>
  <c r="I63" i="6"/>
  <c r="H63" i="6"/>
  <c r="F64" i="6"/>
  <c r="H64" i="6" l="1"/>
  <c r="F65" i="6"/>
  <c r="K63" i="6"/>
  <c r="I64" i="6"/>
  <c r="F66" i="6" l="1"/>
  <c r="H65" i="6"/>
  <c r="I65" i="6"/>
  <c r="K64" i="6"/>
  <c r="K65" i="6" l="1"/>
  <c r="I66" i="6"/>
  <c r="H66" i="6"/>
  <c r="F67" i="6"/>
  <c r="F68" i="6" l="1"/>
  <c r="H67" i="6"/>
  <c r="K66" i="6"/>
  <c r="I67" i="6"/>
  <c r="I68" i="6" l="1"/>
  <c r="K67" i="6"/>
  <c r="H68" i="6"/>
  <c r="F69" i="6"/>
  <c r="H69" i="6" l="1"/>
  <c r="F70" i="6"/>
  <c r="I69" i="6"/>
  <c r="K68" i="6"/>
  <c r="K69" i="6" l="1"/>
  <c r="I70" i="6"/>
  <c r="H70" i="6"/>
  <c r="F71" i="6"/>
  <c r="K70" i="6" l="1"/>
  <c r="I71" i="6"/>
  <c r="H71" i="6"/>
  <c r="F72" i="6"/>
  <c r="H72" i="6" l="1"/>
  <c r="F73" i="6"/>
  <c r="H73" i="6" s="1"/>
  <c r="I72" i="6"/>
  <c r="K71" i="6"/>
  <c r="K72" i="6" l="1"/>
  <c r="I73" i="6"/>
  <c r="K7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Rathod</author>
  </authors>
  <commentList>
    <comment ref="C1" authorId="0" shapeId="0" xr:uid="{ED7BC8D9-9320-4D75-9284-921593D94D3F}">
      <text>
        <r>
          <rPr>
            <b/>
            <sz val="9"/>
            <color indexed="81"/>
            <rFont val="Tahoma"/>
            <charset val="1"/>
          </rPr>
          <t>state</t>
        </r>
      </text>
    </comment>
    <comment ref="E1" authorId="0" shapeId="0" xr:uid="{344F1536-2A36-4253-9AA7-C0DF7627D18B}">
      <text>
        <r>
          <rPr>
            <b/>
            <sz val="9"/>
            <color indexed="81"/>
            <rFont val="Tahoma"/>
            <charset val="1"/>
          </rPr>
          <t>collection_quarter</t>
        </r>
      </text>
    </comment>
    <comment ref="F1" authorId="0" shapeId="0" xr:uid="{EC7C534A-CB55-4663-B256-891AB27CFE45}">
      <text>
        <r>
          <rPr>
            <b/>
            <sz val="9"/>
            <color indexed="81"/>
            <rFont val="Tahoma"/>
            <charset val="1"/>
          </rPr>
          <t>collection_number</t>
        </r>
      </text>
    </comment>
    <comment ref="M1" authorId="0" shapeId="0" xr:uid="{C9016CE8-56E2-4381-9A94-6B1CF4495E3C}">
      <text>
        <r>
          <rPr>
            <b/>
            <sz val="9"/>
            <color indexed="81"/>
            <rFont val="Tahoma"/>
            <charset val="1"/>
          </rPr>
          <t>counter</t>
        </r>
      </text>
    </comment>
    <comment ref="P1" authorId="0" shapeId="0" xr:uid="{C7199007-FA82-4DF4-A6B4-60F87F58DE80}">
      <text>
        <r>
          <rPr>
            <b/>
            <sz val="9"/>
            <color indexed="81"/>
            <rFont val="Tahoma"/>
            <charset val="1"/>
          </rPr>
          <t>counter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Nadine Schuil</author>
  </authors>
  <commentList>
    <comment ref="J2" authorId="0" shapeId="0" xr:uid="{00000000-0006-0000-0700-000001000000}">
      <text>
        <r>
          <rPr>
            <b/>
            <sz val="9"/>
            <color indexed="81"/>
            <rFont val="Tahoma"/>
            <family val="2"/>
          </rPr>
          <t>Nadine Schuil:</t>
        </r>
        <r>
          <rPr>
            <sz val="9"/>
            <color indexed="81"/>
            <rFont val="Tahoma"/>
            <family val="2"/>
          </rPr>
          <t xml:space="preserve">
</t>
        </r>
        <r>
          <rPr>
            <sz val="8"/>
            <color indexed="81"/>
            <rFont val="Tahoma"/>
            <family val="2"/>
          </rPr>
          <t>This is the figure we are interested in - the collection_quarter (the quarter up to which we are reporting)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2" xr16:uid="{00000000-0015-0000-FFFF-FFFF01000000}" name="Connection1"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3" xr16:uid="{00000000-0015-0000-FFFF-FFFF02000000}" name="Connection2"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s>
</file>

<file path=xl/sharedStrings.xml><?xml version="1.0" encoding="utf-8"?>
<sst xmlns="http://schemas.openxmlformats.org/spreadsheetml/2006/main" count="1429" uniqueCount="173">
  <si>
    <t>1st revision</t>
  </si>
  <si>
    <t>Australia</t>
  </si>
  <si>
    <t>Australian Capital Territory</t>
  </si>
  <si>
    <t>New South Wales</t>
  </si>
  <si>
    <t>Northern Territory</t>
  </si>
  <si>
    <t>Queensland</t>
  </si>
  <si>
    <t>South Australia</t>
  </si>
  <si>
    <t>Tasmania</t>
  </si>
  <si>
    <t>Victoria</t>
  </si>
  <si>
    <t>Western Australia</t>
  </si>
  <si>
    <t>type</t>
  </si>
  <si>
    <t>contract</t>
  </si>
  <si>
    <t>CW</t>
  </si>
  <si>
    <t>04</t>
  </si>
  <si>
    <t>01</t>
  </si>
  <si>
    <t>IT</t>
  </si>
  <si>
    <t xml:space="preserve"> </t>
  </si>
  <si>
    <t>collection_quarter</t>
  </si>
  <si>
    <t>collection_number</t>
  </si>
  <si>
    <t>final_count</t>
  </si>
  <si>
    <t>perc_of_final_count</t>
  </si>
  <si>
    <t>Contact status</t>
  </si>
  <si>
    <t>State</t>
  </si>
  <si>
    <t>Estimate</t>
  </si>
  <si>
    <t>Final count</t>
  </si>
  <si>
    <t>count_in_PI</t>
  </si>
  <si>
    <t>N</t>
  </si>
  <si>
    <t>Y</t>
  </si>
  <si>
    <t>COUNT</t>
  </si>
  <si>
    <t>CONCAT</t>
  </si>
  <si>
    <t>Initial</t>
  </si>
  <si>
    <t>*</t>
  </si>
  <si>
    <t>Collection</t>
  </si>
  <si>
    <t>REVIEW QUARTERS</t>
  </si>
  <si>
    <t>Collection number</t>
  </si>
  <si>
    <t>UPDATE latest collection number:</t>
  </si>
  <si>
    <t>Calender</t>
  </si>
  <si>
    <t>Reporting to:</t>
  </si>
  <si>
    <t>Collecting to:</t>
  </si>
  <si>
    <t>Equivalent to:</t>
  </si>
  <si>
    <t>Collection 
number</t>
  </si>
  <si>
    <t>Review quarters</t>
  </si>
  <si>
    <t>Calendar month reported to:</t>
  </si>
  <si>
    <t>Review quarter</t>
  </si>
  <si>
    <t>% of final count</t>
  </si>
  <si>
    <t xml:space="preserve">Estimate </t>
  </si>
  <si>
    <t>Review 
quarter</t>
  </si>
  <si>
    <t>Low95</t>
  </si>
  <si>
    <t>High95</t>
  </si>
  <si>
    <t>Compare final count with 95% PI (for that estimate)</t>
  </si>
  <si>
    <t>Estimate compared with final count</t>
  </si>
  <si>
    <t>Estimate as a % of final count</t>
  </si>
  <si>
    <t>Baseline (100%)</t>
  </si>
  <si>
    <t>Values</t>
  </si>
  <si>
    <t>Initial and 1st revision estimate compared with final count</t>
  </si>
  <si>
    <t>model</t>
  </si>
  <si>
    <t xml:space="preserve">Model </t>
  </si>
  <si>
    <t>Model vs published estimate</t>
  </si>
  <si>
    <t>Published
estimate</t>
  </si>
  <si>
    <t>Model
estimate</t>
  </si>
  <si>
    <t>R</t>
  </si>
  <si>
    <t>G</t>
  </si>
  <si>
    <t>B</t>
  </si>
  <si>
    <t>To tint:</t>
  </si>
  <si>
    <t>newR = currentR + (255 - currentR) * tint_factor</t>
  </si>
  <si>
    <t>newG = currentG + (255 - currentG) * tint_factor</t>
  </si>
  <si>
    <t>newB = currentB + (255 - currentB) * tint_factor</t>
  </si>
  <si>
    <t>Colours</t>
  </si>
  <si>
    <t>Arial</t>
  </si>
  <si>
    <t>Font:</t>
  </si>
  <si>
    <t>Trebuchet</t>
  </si>
  <si>
    <t>review_quarter</t>
  </si>
  <si>
    <t>Cancellations/withdrawals</t>
  </si>
  <si>
    <t>Commencements</t>
  </si>
  <si>
    <t>Completions</t>
  </si>
  <si>
    <t>In-training</t>
  </si>
  <si>
    <t>Collect to</t>
  </si>
  <si>
    <t>Report to</t>
  </si>
  <si>
    <t>Commencements and completions</t>
  </si>
  <si>
    <t>Cancellations/withdrawals and in-training</t>
  </si>
  <si>
    <t>PIVOT TABLES</t>
  </si>
  <si>
    <t/>
  </si>
  <si>
    <t>Different model estimate?</t>
  </si>
  <si>
    <t>Adjustment
to model estimate</t>
  </si>
  <si>
    <t>Dashboard</t>
  </si>
  <si>
    <t>Summary table</t>
  </si>
  <si>
    <t>Back to index</t>
  </si>
  <si>
    <r>
      <rPr>
        <b/>
        <sz val="11"/>
        <color rgb="FF78278B"/>
        <rFont val="Calibri"/>
        <family val="2"/>
        <scheme val="minor"/>
      </rPr>
      <t xml:space="preserve">STEP 1: </t>
    </r>
    <r>
      <rPr>
        <b/>
        <sz val="11"/>
        <rFont val="Calibri"/>
        <family val="2"/>
        <scheme val="minor"/>
      </rPr>
      <t>UPDATE latest collection number 
below to see quarters to be reviewed</t>
    </r>
  </si>
  <si>
    <t>raw_value</t>
  </si>
  <si>
    <t>model_perc_final_count</t>
  </si>
  <si>
    <t>Index</t>
  </si>
  <si>
    <t>Copyright information</t>
  </si>
  <si>
    <t>Published estimate as % of final count</t>
  </si>
  <si>
    <t xml:space="preserve">Model estimate as % of final count  </t>
  </si>
  <si>
    <t>Lower boundary of prediction interval</t>
  </si>
  <si>
    <t>Upper boundary of prediction interval</t>
  </si>
  <si>
    <t xml:space="preserve">NCVER published estimate </t>
  </si>
  <si>
    <t>Initial NCVER published estimate</t>
  </si>
  <si>
    <t>Collected count from STAs</t>
  </si>
  <si>
    <r>
      <t xml:space="preserve">For </t>
    </r>
    <r>
      <rPr>
        <u/>
        <sz val="10"/>
        <color theme="1"/>
        <rFont val="Arial"/>
        <family val="2"/>
      </rPr>
      <t>cancellations/withdrawals and in-training</t>
    </r>
    <r>
      <rPr>
        <sz val="10"/>
        <color theme="1"/>
        <rFont val="Arial"/>
        <family val="2"/>
      </rPr>
      <t>, the following quarters are reviewed in this dashboard:</t>
    </r>
  </si>
  <si>
    <t>Initial estimate</t>
  </si>
  <si>
    <t>First revision estimate</t>
  </si>
  <si>
    <r>
      <t xml:space="preserve">After each collection, the estimates review dashboard will be updated with the latest data and enable a review of the most recent quarters possible. 
For commencements and completions, we require three collections or quarters of data for a final count to emerge for a certain quarter after an initial estimate was reported. For cancellations/withdrawals and in-training, we require seven collections or quarters of data for a final count to emerge for a certain quarter after an initial estimate was reported. Please see the Review quarters tab for more detail.
In summary, for </t>
    </r>
    <r>
      <rPr>
        <u/>
        <sz val="10"/>
        <color theme="1"/>
        <rFont val="Arial"/>
        <family val="2"/>
      </rPr>
      <t>commencements and completions</t>
    </r>
    <r>
      <rPr>
        <sz val="10"/>
        <color theme="1"/>
        <rFont val="Arial"/>
        <family val="2"/>
      </rPr>
      <t xml:space="preserve">, the following quarters are reviewed in this dashboard:
</t>
    </r>
  </si>
  <si>
    <t>Summary</t>
  </si>
  <si>
    <t>Estimate as percentage of final count</t>
  </si>
  <si>
    <r>
      <t xml:space="preserve">Does the final count lie in the </t>
    </r>
    <r>
      <rPr>
        <b/>
        <u/>
        <sz val="10"/>
        <color theme="1"/>
        <rFont val="Arial"/>
        <family val="2"/>
      </rPr>
      <t>initial</t>
    </r>
    <r>
      <rPr>
        <b/>
        <sz val="10"/>
        <color theme="1"/>
        <rFont val="Arial"/>
        <family val="2"/>
      </rPr>
      <t xml:space="preserve"> 95% prediction interval?</t>
    </r>
  </si>
  <si>
    <r>
      <t xml:space="preserve">Does the final count lie in the </t>
    </r>
    <r>
      <rPr>
        <b/>
        <u/>
        <sz val="12"/>
        <color rgb="FF439539"/>
        <rFont val="Arial"/>
        <family val="2"/>
      </rPr>
      <t>initial</t>
    </r>
    <r>
      <rPr>
        <b/>
        <sz val="12"/>
        <color rgb="FF439539"/>
        <rFont val="Arial"/>
        <family val="2"/>
      </rPr>
      <t xml:space="preserve"> 95% prediction interval?</t>
    </r>
  </si>
  <si>
    <t>Explanatory terms and notes are provided as further detail for the dashboard and summary table and graph</t>
  </si>
  <si>
    <t xml:space="preserve">Summary table and graph, providing a snapshot of the dashboard </t>
  </si>
  <si>
    <t>Quarters that are reviewed</t>
  </si>
  <si>
    <t>Glossary and explanatory notes</t>
  </si>
  <si>
    <r>
      <t xml:space="preserve">Does the final count lie in the </t>
    </r>
    <r>
      <rPr>
        <b/>
        <u/>
        <sz val="14"/>
        <color theme="1"/>
        <rFont val="Arial"/>
        <family val="2"/>
      </rPr>
      <t>initial</t>
    </r>
    <r>
      <rPr>
        <b/>
        <sz val="14"/>
        <color theme="1"/>
        <rFont val="Arial"/>
        <family val="2"/>
      </rPr>
      <t xml:space="preserve"> 95% prediction interval?</t>
    </r>
  </si>
  <si>
    <t>With each passing quarter, the estimates on contract activities are revised to include the data received during the most recent data submission. For example, for commencements, around 95% of the complete data are captured one quarter after the training activity has occurred and around 99% after two quarters (at the time the first revision estimate is calculated). For completions, approximately 90% are captured one quarter after the training activity occurred and approximately 97% after two quarters. The revised estimates are published in NCVER’s quarterly statistical reports.</t>
  </si>
  <si>
    <t xml:space="preserve">For commencements and completions, we require three quarters of data for a final count to emerge for a certain quarter after an initial estimate was reported. For cancellations/withdrawals and in-training, we require seven quarters of data.
</t>
  </si>
  <si>
    <r>
      <t>1</t>
    </r>
    <r>
      <rPr>
        <vertAlign val="superscript"/>
        <sz val="11"/>
        <color theme="1"/>
        <rFont val="Arial"/>
        <family val="2"/>
      </rPr>
      <t>st</t>
    </r>
    <r>
      <rPr>
        <sz val="11"/>
        <color theme="1"/>
        <rFont val="Arial"/>
        <family val="2"/>
      </rPr>
      <t xml:space="preserve"> rev</t>
    </r>
  </si>
  <si>
    <r>
      <t>2</t>
    </r>
    <r>
      <rPr>
        <vertAlign val="superscript"/>
        <sz val="11"/>
        <color theme="1"/>
        <rFont val="Arial"/>
        <family val="2"/>
      </rPr>
      <t>nd</t>
    </r>
    <r>
      <rPr>
        <sz val="11"/>
        <color theme="1"/>
        <rFont val="Arial"/>
        <family val="2"/>
      </rPr>
      <t xml:space="preserve"> rev</t>
    </r>
  </si>
  <si>
    <t>Apprentices and trainees estimates review dashboard</t>
  </si>
  <si>
    <t>Which quarters are reviewed?</t>
  </si>
  <si>
    <t>First revision NCVER published estimate</t>
  </si>
  <si>
    <t>Explanatory notes</t>
  </si>
  <si>
    <t>This metric in the dashboard and corresponding field in the summary table indicates the initial or first revision estimate as a percentage of the final count that eventually emerged. For example, an initial estimate of 2900 for a certain contract status and quarter is 101.8% of a final count of 2850 that emerged.</t>
  </si>
  <si>
    <r>
      <rPr>
        <b/>
        <sz val="10"/>
        <color rgb="FF78278B"/>
        <rFont val="Arial"/>
        <family val="2"/>
      </rPr>
      <t>STEP 2</t>
    </r>
    <r>
      <rPr>
        <b/>
        <sz val="10"/>
        <color theme="1"/>
        <rFont val="Arial"/>
        <family val="2"/>
      </rPr>
      <t>: select the review quarters to be reviewed as mentioned in the Introduction section. Hold down the Shift or Ctrl key to select more than one review quarter</t>
    </r>
  </si>
  <si>
    <t>Final count (100%)</t>
  </si>
  <si>
    <r>
      <rPr>
        <b/>
        <sz val="10"/>
        <color rgb="FF78278B"/>
        <rFont val="Arial"/>
        <family val="2"/>
      </rPr>
      <t xml:space="preserve">STEP 1: </t>
    </r>
    <r>
      <rPr>
        <b/>
        <sz val="10"/>
        <rFont val="Arial"/>
        <family val="2"/>
      </rPr>
      <t xml:space="preserve">select </t>
    </r>
    <r>
      <rPr>
        <b/>
        <u/>
        <sz val="10"/>
        <rFont val="Arial"/>
        <family val="2"/>
      </rPr>
      <t>one</t>
    </r>
    <r>
      <rPr>
        <b/>
        <sz val="10"/>
        <rFont val="Arial"/>
        <family val="2"/>
      </rPr>
      <t xml:space="preserve"> estimate type, contract status and state/territory  to review from the left-hand menu </t>
    </r>
  </si>
  <si>
    <t>Model estimate</t>
  </si>
  <si>
    <t>Visualisation of data, enabling a review of the accuracy of the published estimates, and hence methodology</t>
  </si>
  <si>
    <t>State training authorities (STAs)</t>
  </si>
  <si>
    <t>Why does NCVER estimate?</t>
  </si>
  <si>
    <t>What is the purpose of this tool?</t>
  </si>
  <si>
    <t>Commencements, AUS</t>
  </si>
  <si>
    <t>Collected counts</t>
  </si>
  <si>
    <t>Estimates</t>
  </si>
  <si>
    <t>ETE</t>
  </si>
  <si>
    <t>initial</t>
  </si>
  <si>
    <t>2nd revision</t>
  </si>
  <si>
    <t>Commencements, Australia, September 2016 quarter</t>
  </si>
  <si>
    <t>-</t>
  </si>
  <si>
    <t>Quarter</t>
  </si>
  <si>
    <t>Collected count</t>
  </si>
  <si>
    <t>Second revision estimate</t>
  </si>
  <si>
    <t>Type of estimate</t>
  </si>
  <si>
    <t>A</t>
  </si>
  <si>
    <t>Apprentice and trainee data (numbers of contracts of training and the time at which these events occur) are reported by the state and territory training authorities (STAs) to NCVER on a quarterly basis. However, it is not unusual for some time to elapse before information about the number of contracts of training appears in the national collection, due to a chain of administrative processes that must be followed. These time gaps are referred to as 'reporting lags'.
Thus, data about events occurring in a given quarter might require several collections to be completely reported. It takes up to four quarters for commencements and completions and eight quarters for cancellations/withdrawals for complete information about these events to appear in the national collection. As a result, accurate counts take time to accumulate.  However, waiting for all the data to be submitted reduces their usefulness.  In order to get timely information that can be used for monitoring apprentice/trainee activity and formulating policy, a reliable estimate of the 'final' counts is required as soon as possible after the quarter in which the events occur.
For example, consider the lag between estimated and actual collected contract commencements, for Australia, for September 2016 quarter:</t>
  </si>
  <si>
    <t xml:space="preserve">The blue line in the figure above, indicating actual collected numbers from the STAs shows how data for the September 2016 quarter commencements accumulate over time.  
The green line shows how the corresponding NCVER estimates are revised over the same time period. The estimates are based on the average ratios of the final reported count to the reported count at quarters two to four as observed for quarters previous to September 2016. As the amount of unknown data reduces across the quarters, the estimates improve and converge toward the actual final count. After four quarters, the actual collected counts are as good as anything NCVER can estimate. For quarter five and onwards, NCVER only reports the actual collected count for September 2016 commencements.
</t>
  </si>
  <si>
    <t xml:space="preserve">Initial estimates are calculated one quarter after the training activity occurred. For example, the initially published estimates for the December quarter contract activities are calculated when NCVER receives the March quarter data. The initial estimates are published in NCVER’s quarterly statistical reports on apprentice and trainee contract activities. </t>
  </si>
  <si>
    <t>&lt;https://www.ncver.edu.au/data/collection/apprentices-and-trainees-collection&gt;.</t>
  </si>
  <si>
    <r>
      <t xml:space="preserve">This first metric in the dashboard and corresponding field in the summary table compares the final count that eventually emerge to the 95% prediction interval calculated for the </t>
    </r>
    <r>
      <rPr>
        <u/>
        <sz val="11"/>
        <color theme="1"/>
        <rFont val="Arial"/>
        <family val="2"/>
      </rPr>
      <t>initial</t>
    </r>
    <r>
      <rPr>
        <sz val="11"/>
        <color theme="1"/>
        <rFont val="Arial"/>
        <family val="2"/>
      </rPr>
      <t xml:space="preserve"> estimate. Therefore, for example, even though the initial estimate may be 110% of the final count as described above, the final count can indeed still lie within the initial 95% prediction interval. This may be due to a wide prediction interval related to the initial estimate and encompassing the final count. Conversely, for a narrow prediction interval associated with the initial estimate, the final count may lie outside the initial 95% prediction interval, when the initial estimate is, say, only 102% of the final count. The width of the prediction interval is determined by the standard error associated with the calculation of the estimate. For detailed information on the calculation methodology of the estimates and subsequent prediction errors and intervals,</t>
    </r>
  </si>
  <si>
    <t>please see the technical paper,</t>
  </si>
  <si>
    <t>Estimation of apprentices and trainee statistics.</t>
  </si>
  <si>
    <t>State training authorities are government departments in each state or territory responsible for the operation of the vocational education and training (VET) system (including apprenticeships) within that jurisdiction. Each STA participates in the formulation of national policy, planning and objectives, and promotes and implements the agreed policies and priorities in the state or territory. Specifically, in the case of apprentices and trainees, the STAs are responsible for the registration and certification of apprenticeships training agreements and employment arrangements surrounding apprentices and trainees.</t>
  </si>
  <si>
    <t>The model estimate is the estimate produced by the endorsed estimation methodology, and is subject to review.  Estimates that are associated with high relative errors or are unusually high or low are examined and if possible adjusted. The resulting estimate is the published estimate.  Where no adjustment is made to the model estimate, the published estimate is equal to the model estimate. Documentation relating to the review for collections can be found in the Adjustment notes for Apprentice and trainee estimates documents, which is provided as a supporting document for each collection, and can be found at</t>
  </si>
  <si>
    <t>&lt;https://www.ncver.edu.au/publications/publications/all-publications/a-guide-to-the-apprentices-and-trainees-estimates-review-dashboard&gt;.</t>
  </si>
  <si>
    <t xml:space="preserve">NCVER has committed to reviewing the accuracy and reliability of the methodology employed in the estimation process, as described above, on a quarterly basis. In doing so, stakeholders can be assured on a timely and continuous basis of the robustness and veracity of the estimates that are published by NCVER, based on the counts that are collected from the state training authorities. This is a reflection of NCVER’s continuous commitment to transparency of processes employed and data published.
In order to undertake an efficient and frequent review of the estimation process, it was thought best to develop this interactive tool, to allow the user to quickly and effectively assess the accuracy of the estimates published by NCVER.
The estimates that are reviewed are the initial estimates and first revision estimates. The reliability and accuracy of the estimates are assessed by comparing the initial and first revision published estimates to the final counts that emerge, and by assessing the final count against the 95% prediction intervals of the published estimates.
A technical paper has been produced to provide a brief overview of the estimation methodology employed in the National Apprentice and Trainee Collection and instructions on the operation of this dashboard. The technical paper can be found at
</t>
  </si>
  <si>
    <t>Link to technical paper</t>
  </si>
  <si>
    <t>The review quarters investigated for each contract status are identified, based on final counts that emerge</t>
  </si>
  <si>
    <t>27 567</t>
  </si>
  <si>
    <t>36 084</t>
  </si>
  <si>
    <t>37 140</t>
  </si>
  <si>
    <t>37 384</t>
  </si>
  <si>
    <t>37 471</t>
  </si>
  <si>
    <t>37 927</t>
  </si>
  <si>
    <t>37 479</t>
  </si>
  <si>
    <t>37 493</t>
  </si>
  <si>
    <t>STEP 1:  Refresh ANALYSIS table
STEP 2:  Click button below</t>
  </si>
  <si>
    <t>TABLES FOR DASHBOARD GRAPHS</t>
  </si>
  <si>
    <t>PIVOT TABLES - TO UPDATE/REFRESH</t>
  </si>
  <si>
    <r>
      <t>3</t>
    </r>
    <r>
      <rPr>
        <vertAlign val="superscript"/>
        <sz val="11"/>
        <color theme="1"/>
        <rFont val="Arial"/>
        <family val="2"/>
      </rPr>
      <t>rd</t>
    </r>
    <r>
      <rPr>
        <sz val="11"/>
        <color theme="1"/>
        <rFont val="Arial"/>
        <family val="2"/>
      </rPr>
      <t xml:space="preserve"> rev</t>
    </r>
  </si>
  <si>
    <r>
      <t>4</t>
    </r>
    <r>
      <rPr>
        <vertAlign val="superscript"/>
        <sz val="11"/>
        <color theme="1"/>
        <rFont val="Arial"/>
        <family val="2"/>
      </rPr>
      <t>th</t>
    </r>
    <r>
      <rPr>
        <sz val="11"/>
        <color theme="1"/>
        <rFont val="Arial"/>
        <family val="2"/>
      </rPr>
      <t xml:space="preserve"> rev</t>
    </r>
  </si>
  <si>
    <r>
      <t>5</t>
    </r>
    <r>
      <rPr>
        <vertAlign val="superscript"/>
        <sz val="11"/>
        <color theme="1"/>
        <rFont val="Arial"/>
        <family val="2"/>
      </rPr>
      <t>th</t>
    </r>
    <r>
      <rPr>
        <sz val="11"/>
        <color theme="1"/>
        <rFont val="Arial"/>
        <family val="2"/>
      </rPr>
      <t xml:space="preserve"> rev</t>
    </r>
  </si>
  <si>
    <r>
      <t>6</t>
    </r>
    <r>
      <rPr>
        <vertAlign val="superscript"/>
        <sz val="11"/>
        <color theme="1"/>
        <rFont val="Arial"/>
        <family val="2"/>
      </rPr>
      <t>th</t>
    </r>
    <r>
      <rPr>
        <sz val="11"/>
        <color theme="1"/>
        <rFont val="Arial"/>
        <family val="2"/>
      </rPr>
      <t xml:space="preserve"> rev</t>
    </r>
  </si>
  <si>
    <r>
      <rPr>
        <b/>
        <sz val="9"/>
        <color theme="1"/>
        <rFont val="Calibri"/>
        <family val="2"/>
      </rPr>
      <t>©</t>
    </r>
    <r>
      <rPr>
        <b/>
        <sz val="9"/>
        <color theme="1"/>
        <rFont val="Arial"/>
        <family val="2"/>
      </rPr>
      <t xml:space="preserve"> Commonwealth of Australia, 2025</t>
    </r>
  </si>
  <si>
    <r>
      <t xml:space="preserve">With the exception of the Commonwealth Coat of Arms, the Department's logo, any material protected by a trade mark and where otherwise noted all material presented in this document is provided under a Creative Commons Attribution 3.0 Australia &lt;www.creativecommons.org/licenses/by/3.0/au&gt; licence. 
The details of the relevant licence conditions are available on the Creative Commons website (accessible using the links provided) as is the full legal code for the CC BY 3.0 AU licence &lt;www.creativecommons.org/licenses/by/3.0/legalcode&gt;.
This document should be attributed as NCVER 2025, </t>
    </r>
    <r>
      <rPr>
        <i/>
        <sz val="10"/>
        <rFont val="Arial"/>
        <family val="2"/>
      </rPr>
      <t>Australian vocational education and training statistics: Apprentices and trainees estimates review dashboard: June quarter 2025,</t>
    </r>
    <r>
      <rPr>
        <sz val="10"/>
        <rFont val="Arial"/>
        <family val="2"/>
      </rPr>
      <t xml:space="preserve"> NCVER, Adelaide.
This work has been produced by the National Centre for Vocational Education Research (NCVER) on behalf of the Australian Government and state and territory governments, with funding provided through the Australian Government Department of Employment and Workplace Relations. 
The views and opinions expressed in this document are those of NCVER and do not necessarily reflect the views of the Australian Government or state and territory governments.  
Published by NCVER, ABN 87 007 967 311
Level 5, 60 Light Square, Adelaide SA 5000
PO Box 8288, Station Arcade, Adelaide SA 5000, Australia
P (08) 8230 8400   W &lt;www.ncver.edu.au&gt;   E &lt;ncver@ncver.edu.au&gt;</t>
    </r>
  </si>
  <si>
    <t>Was the model estimate adjusted to get the published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</si>
</sst>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0.0"/>
    <numFmt numFmtId="167" formatCode="0.0%"/>
    <numFmt numFmtId="168" formatCode="_-* #,##0_-;\-* #,##0_-;_-* &quot;-&quot;??_-;_-@_-"/>
    <numFmt numFmtId="169" formatCode="[$-409]mmm\-yy;@"/>
  </numFmts>
  <fonts count="65" x14ac:knownFonts="1">
    <font>
      <sz val="11"/>
      <color theme="1"/>
      <name val="Calibri"/>
      <family val="2"/>
      <scheme val="minor"/>
    </font>
    <font>
      <b/>
      <sz val="11"/>
      <color theme="1"/>
      <name val="Calibri"/>
      <family val="2"/>
      <scheme val="minor"/>
    </font>
    <font>
      <b/>
      <sz val="9"/>
      <color indexed="81"/>
      <name val="Tahoma"/>
      <family val="2"/>
    </font>
    <font>
      <b/>
      <sz val="11"/>
      <color theme="0"/>
      <name val="Calibri"/>
      <family val="2"/>
      <scheme val="minor"/>
    </font>
    <font>
      <sz val="9"/>
      <color indexed="81"/>
      <name val="Tahoma"/>
      <family val="2"/>
    </font>
    <font>
      <sz val="1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sz val="11"/>
      <color theme="0"/>
      <name val="Calibri"/>
      <family val="2"/>
      <scheme val="minor"/>
    </font>
    <font>
      <b/>
      <sz val="18"/>
      <name val="Calibri"/>
      <family val="2"/>
      <scheme val="minor"/>
    </font>
    <font>
      <sz val="8"/>
      <color indexed="81"/>
      <name val="Tahoma"/>
      <family val="2"/>
    </font>
    <font>
      <b/>
      <sz val="11"/>
      <name val="Calibri"/>
      <family val="2"/>
      <scheme val="minor"/>
    </font>
    <font>
      <sz val="11"/>
      <name val="Calibri"/>
      <family val="2"/>
    </font>
    <font>
      <b/>
      <sz val="11"/>
      <color rgb="FFFF0000"/>
      <name val="Calibri"/>
      <family val="2"/>
      <scheme val="minor"/>
    </font>
    <font>
      <b/>
      <sz val="13"/>
      <color theme="0"/>
      <name val="Calibri"/>
      <family val="2"/>
      <scheme val="minor"/>
    </font>
    <font>
      <b/>
      <sz val="18"/>
      <color theme="1"/>
      <name val="Calibri"/>
      <family val="2"/>
      <scheme val="minor"/>
    </font>
    <font>
      <sz val="11"/>
      <color theme="1"/>
      <name val="Calibri"/>
      <family val="2"/>
      <scheme val="minor"/>
    </font>
    <font>
      <b/>
      <sz val="11.5"/>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sz val="18"/>
      <name val="Calibri"/>
      <family val="2"/>
      <scheme val="minor"/>
    </font>
    <font>
      <sz val="11"/>
      <color theme="1"/>
      <name val="Arial"/>
      <family val="2"/>
    </font>
    <font>
      <sz val="11"/>
      <color theme="1"/>
      <name val="Trebuchet MS"/>
      <family val="2"/>
    </font>
    <font>
      <b/>
      <sz val="11"/>
      <color rgb="FF78278B"/>
      <name val="Calibri"/>
      <family val="2"/>
      <scheme val="minor"/>
    </font>
    <font>
      <u/>
      <sz val="11"/>
      <color theme="10"/>
      <name val="Calibri"/>
      <family val="2"/>
      <scheme val="minor"/>
    </font>
    <font>
      <u/>
      <sz val="11"/>
      <color theme="0"/>
      <name val="Calibri"/>
      <family val="2"/>
      <scheme val="minor"/>
    </font>
    <font>
      <sz val="11"/>
      <color theme="0" tint="-0.14999847407452621"/>
      <name val="Calibri"/>
      <family val="2"/>
      <scheme val="minor"/>
    </font>
    <font>
      <sz val="9"/>
      <color theme="0" tint="-0.14999847407452621"/>
      <name val="Calibri"/>
      <family val="2"/>
      <scheme val="minor"/>
    </font>
    <font>
      <b/>
      <sz val="18"/>
      <color theme="0"/>
      <name val="Arial"/>
      <family val="2"/>
    </font>
    <font>
      <b/>
      <sz val="10"/>
      <color theme="1"/>
      <name val="Arial"/>
      <family val="2"/>
    </font>
    <font>
      <b/>
      <sz val="10"/>
      <color rgb="FF003767"/>
      <name val="Arial"/>
      <family val="2"/>
    </font>
    <font>
      <b/>
      <sz val="14"/>
      <color theme="1"/>
      <name val="Arial"/>
      <family val="2"/>
    </font>
    <font>
      <b/>
      <sz val="10"/>
      <color rgb="FF78278B"/>
      <name val="Arial"/>
      <family val="2"/>
    </font>
    <font>
      <b/>
      <sz val="10"/>
      <name val="Arial"/>
      <family val="2"/>
    </font>
    <font>
      <b/>
      <u/>
      <sz val="10"/>
      <name val="Arial"/>
      <family val="2"/>
    </font>
    <font>
      <sz val="10"/>
      <color theme="1"/>
      <name val="Arial"/>
      <family val="2"/>
    </font>
    <font>
      <u/>
      <sz val="10"/>
      <color theme="10"/>
      <name val="Arial"/>
      <family val="2"/>
    </font>
    <font>
      <b/>
      <sz val="10"/>
      <color theme="0"/>
      <name val="Arial"/>
      <family val="2"/>
    </font>
    <font>
      <sz val="10"/>
      <name val="Arial"/>
      <family val="2"/>
    </font>
    <font>
      <b/>
      <sz val="14"/>
      <color theme="0"/>
      <name val="Arial"/>
      <family val="2"/>
    </font>
    <font>
      <sz val="9.5"/>
      <color theme="1"/>
      <name val="Trebuchet MS"/>
      <family val="2"/>
    </font>
    <font>
      <b/>
      <u/>
      <sz val="10"/>
      <color theme="1"/>
      <name val="Arial"/>
      <family val="2"/>
    </font>
    <font>
      <u/>
      <sz val="10"/>
      <color theme="1"/>
      <name val="Arial"/>
      <family val="2"/>
    </font>
    <font>
      <b/>
      <sz val="11"/>
      <color rgb="FF439539"/>
      <name val="Arial"/>
      <family val="2"/>
    </font>
    <font>
      <b/>
      <sz val="12"/>
      <color rgb="FF439539"/>
      <name val="Arial"/>
      <family val="2"/>
    </font>
    <font>
      <b/>
      <u/>
      <sz val="12"/>
      <color rgb="FF439539"/>
      <name val="Arial"/>
      <family val="2"/>
    </font>
    <font>
      <u/>
      <sz val="11"/>
      <color theme="1"/>
      <name val="Arial"/>
      <family val="2"/>
    </font>
    <font>
      <u/>
      <sz val="11"/>
      <color theme="10"/>
      <name val="Arial"/>
      <family val="2"/>
    </font>
    <font>
      <b/>
      <u/>
      <sz val="14"/>
      <color theme="1"/>
      <name val="Arial"/>
      <family val="2"/>
    </font>
    <font>
      <sz val="10.5"/>
      <color theme="1"/>
      <name val="Arial"/>
      <family val="2"/>
    </font>
    <font>
      <b/>
      <sz val="11"/>
      <name val="Arial"/>
      <family val="2"/>
    </font>
    <font>
      <vertAlign val="superscript"/>
      <sz val="11"/>
      <color theme="1"/>
      <name val="Arial"/>
      <family val="2"/>
    </font>
    <font>
      <sz val="11"/>
      <name val="Arial"/>
      <family val="2"/>
    </font>
    <font>
      <b/>
      <sz val="20"/>
      <color theme="0"/>
      <name val="Arial"/>
      <family val="2"/>
    </font>
    <font>
      <u/>
      <sz val="10"/>
      <color rgb="FF1A0FF9"/>
      <name val="Arial"/>
      <family val="2"/>
    </font>
    <font>
      <b/>
      <sz val="9"/>
      <color indexed="81"/>
      <name val="Tahoma"/>
      <charset val="1"/>
    </font>
    <font>
      <b/>
      <sz val="11"/>
      <color rgb="FFFF0000"/>
      <name val="Arial"/>
      <family val="2"/>
    </font>
    <font>
      <i/>
      <sz val="10"/>
      <name val="Arial"/>
      <family val="2"/>
    </font>
    <font>
      <sz val="9"/>
      <name val="Arial"/>
      <family val="2"/>
    </font>
    <font>
      <b/>
      <sz val="9"/>
      <color theme="1"/>
      <name val="Arial"/>
      <family val="2"/>
    </font>
    <font>
      <b/>
      <sz val="9"/>
      <color theme="1"/>
      <name val="Calibri"/>
      <family val="2"/>
    </font>
    <font>
      <sz val="8"/>
      <name val="Calibri"/>
      <family val="2"/>
      <scheme val="minor"/>
    </font>
  </fonts>
  <fills count="22">
    <fill>
      <patternFill patternType="none"/>
    </fill>
    <fill>
      <patternFill patternType="gray125"/>
    </fill>
    <fill>
      <patternFill patternType="darkUp">
        <fgColor rgb="FFD9D9D9"/>
        <bgColor rgb="FFEDEDED"/>
      </patternFill>
    </fill>
    <fill>
      <patternFill patternType="lightUp">
        <fgColor rgb="FFBFBFBF"/>
        <bgColor rgb="FFF1F1F1"/>
      </patternFill>
    </fill>
    <fill>
      <patternFill patternType="solid">
        <fgColor theme="0" tint="-4.9989318521683403E-2"/>
        <bgColor indexed="64"/>
      </patternFill>
    </fill>
    <fill>
      <patternFill patternType="solid">
        <fgColor rgb="FF003767"/>
        <bgColor indexed="64"/>
      </patternFill>
    </fill>
    <fill>
      <patternFill patternType="solid">
        <fgColor rgb="FF439539"/>
        <bgColor indexed="64"/>
      </patternFill>
    </fill>
    <fill>
      <patternFill patternType="solid">
        <fgColor rgb="FF78278B"/>
        <bgColor indexed="64"/>
      </patternFill>
    </fill>
    <fill>
      <patternFill patternType="solid">
        <fgColor rgb="FF0081C6"/>
        <bgColor indexed="64"/>
      </patternFill>
    </fill>
    <fill>
      <patternFill patternType="solid">
        <fgColor rgb="FFBFCDD9"/>
        <bgColor indexed="64"/>
      </patternFill>
    </fill>
    <fill>
      <patternFill patternType="solid">
        <fgColor rgb="FF809BB3"/>
        <bgColor indexed="64"/>
      </patternFill>
    </fill>
    <fill>
      <patternFill patternType="solid">
        <fgColor rgb="FF40698D"/>
        <bgColor indexed="64"/>
      </patternFill>
    </fill>
    <fill>
      <patternFill patternType="solid">
        <fgColor rgb="FFD0E5CE"/>
        <bgColor indexed="64"/>
      </patternFill>
    </fill>
    <fill>
      <patternFill patternType="solid">
        <fgColor rgb="FFA1CA9C"/>
        <bgColor indexed="64"/>
      </patternFill>
    </fill>
    <fill>
      <patternFill patternType="solid">
        <fgColor rgb="FF72B06B"/>
        <bgColor indexed="64"/>
      </patternFill>
    </fill>
    <fill>
      <patternFill patternType="solid">
        <fgColor rgb="FFDDC9E2"/>
        <bgColor indexed="64"/>
      </patternFill>
    </fill>
    <fill>
      <patternFill patternType="solid">
        <fgColor rgb="FFBC93C5"/>
        <bgColor indexed="64"/>
      </patternFill>
    </fill>
    <fill>
      <patternFill patternType="solid">
        <fgColor rgb="FF9A5DA8"/>
        <bgColor indexed="64"/>
      </patternFill>
    </fill>
    <fill>
      <patternFill patternType="solid">
        <fgColor rgb="FFBFE0F1"/>
        <bgColor indexed="64"/>
      </patternFill>
    </fill>
    <fill>
      <patternFill patternType="solid">
        <fgColor rgb="FF80C0E3"/>
        <bgColor indexed="64"/>
      </patternFill>
    </fill>
    <fill>
      <patternFill patternType="solid">
        <fgColor rgb="FF40A1D4"/>
        <bgColor indexed="64"/>
      </patternFill>
    </fill>
    <fill>
      <patternFill patternType="solid">
        <fgColor rgb="FFBFE0F1"/>
        <bgColor theme="4" tint="0.79998168889431442"/>
      </patternFill>
    </fill>
  </fills>
  <borders count="7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2F2F2"/>
      </bottom>
      <diagonal/>
    </border>
    <border>
      <left style="thin">
        <color indexed="64"/>
      </left>
      <right style="thin">
        <color indexed="64"/>
      </right>
      <top/>
      <bottom/>
      <diagonal/>
    </border>
    <border>
      <left style="medium">
        <color indexed="64"/>
      </left>
      <right/>
      <top style="medium">
        <color indexed="64"/>
      </top>
      <bottom style="medium">
        <color rgb="FFF2F2F2"/>
      </bottom>
      <diagonal/>
    </border>
    <border>
      <left/>
      <right/>
      <top style="medium">
        <color indexed="64"/>
      </top>
      <bottom style="medium">
        <color rgb="FFF2F2F2"/>
      </bottom>
      <diagonal/>
    </border>
    <border>
      <left style="medium">
        <color indexed="64"/>
      </left>
      <right/>
      <top/>
      <bottom style="medium">
        <color rgb="FFF2F2F2"/>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theme="4" tint="0.399975585192419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rgb="FF0081C6"/>
      </left>
      <right style="thin">
        <color rgb="FF0081C6"/>
      </right>
      <top style="thin">
        <color rgb="FF0081C6"/>
      </top>
      <bottom style="thin">
        <color rgb="FF0081C6"/>
      </bottom>
      <diagonal/>
    </border>
    <border>
      <left style="thin">
        <color rgb="FF0081C6"/>
      </left>
      <right/>
      <top style="thin">
        <color rgb="FF0081C6"/>
      </top>
      <bottom style="thin">
        <color rgb="FF0081C6"/>
      </bottom>
      <diagonal/>
    </border>
    <border>
      <left/>
      <right/>
      <top style="thin">
        <color rgb="FF0081C6"/>
      </top>
      <bottom style="thin">
        <color rgb="FF0081C6"/>
      </bottom>
      <diagonal/>
    </border>
    <border>
      <left/>
      <right style="thin">
        <color rgb="FF0081C6"/>
      </right>
      <top style="thin">
        <color rgb="FF0081C6"/>
      </top>
      <bottom style="thin">
        <color rgb="FF0081C6"/>
      </bottom>
      <diagonal/>
    </border>
    <border>
      <left style="mediumDashed">
        <color rgb="FF0081C6"/>
      </left>
      <right/>
      <top style="mediumDashed">
        <color rgb="FF0081C6"/>
      </top>
      <bottom/>
      <diagonal/>
    </border>
    <border>
      <left/>
      <right/>
      <top style="mediumDashed">
        <color rgb="FF0081C6"/>
      </top>
      <bottom/>
      <diagonal/>
    </border>
    <border>
      <left/>
      <right style="mediumDashed">
        <color rgb="FF0081C6"/>
      </right>
      <top style="mediumDashed">
        <color rgb="FF0081C6"/>
      </top>
      <bottom/>
      <diagonal/>
    </border>
    <border>
      <left style="mediumDashed">
        <color rgb="FF0081C6"/>
      </left>
      <right/>
      <top/>
      <bottom style="mediumDashed">
        <color rgb="FF0081C6"/>
      </bottom>
      <diagonal/>
    </border>
    <border>
      <left/>
      <right/>
      <top/>
      <bottom style="mediumDashed">
        <color rgb="FF0081C6"/>
      </bottom>
      <diagonal/>
    </border>
    <border>
      <left/>
      <right style="mediumDashed">
        <color rgb="FF0081C6"/>
      </right>
      <top/>
      <bottom style="mediumDashed">
        <color rgb="FF0081C6"/>
      </bottom>
      <diagonal/>
    </border>
    <border>
      <left style="thin">
        <color rgb="FF0081C6"/>
      </left>
      <right style="thin">
        <color rgb="FF0081C6"/>
      </right>
      <top style="thin">
        <color rgb="FF0081C6"/>
      </top>
      <bottom/>
      <diagonal/>
    </border>
    <border>
      <left style="thin">
        <color rgb="FF0081C6"/>
      </left>
      <right style="thin">
        <color rgb="FF0081C6"/>
      </right>
      <top/>
      <bottom style="thin">
        <color rgb="FF0081C6"/>
      </bottom>
      <diagonal/>
    </border>
    <border>
      <left style="medium">
        <color rgb="FF439539"/>
      </left>
      <right/>
      <top style="medium">
        <color rgb="FF439539"/>
      </top>
      <bottom style="medium">
        <color rgb="FF439539"/>
      </bottom>
      <diagonal/>
    </border>
    <border>
      <left/>
      <right/>
      <top style="medium">
        <color rgb="FF439539"/>
      </top>
      <bottom style="medium">
        <color rgb="FF439539"/>
      </bottom>
      <diagonal/>
    </border>
    <border>
      <left/>
      <right style="medium">
        <color rgb="FF439539"/>
      </right>
      <top style="medium">
        <color rgb="FF439539"/>
      </top>
      <bottom style="medium">
        <color rgb="FF439539"/>
      </bottom>
      <diagonal/>
    </border>
    <border>
      <left style="thin">
        <color rgb="FF0081C6"/>
      </left>
      <right/>
      <top style="thin">
        <color rgb="FF0081C6"/>
      </top>
      <bottom/>
      <diagonal/>
    </border>
    <border>
      <left/>
      <right/>
      <top style="thin">
        <color rgb="FF0081C6"/>
      </top>
      <bottom/>
      <diagonal/>
    </border>
    <border>
      <left/>
      <right style="thin">
        <color rgb="FF0081C6"/>
      </right>
      <top style="thin">
        <color rgb="FF0081C6"/>
      </top>
      <bottom/>
      <diagonal/>
    </border>
    <border>
      <left style="thin">
        <color rgb="FF0081C6"/>
      </left>
      <right/>
      <top/>
      <bottom/>
      <diagonal/>
    </border>
    <border>
      <left/>
      <right style="thin">
        <color rgb="FF0081C6"/>
      </right>
      <top/>
      <bottom/>
      <diagonal/>
    </border>
    <border>
      <left style="thin">
        <color rgb="FF0081C6"/>
      </left>
      <right/>
      <top/>
      <bottom style="thin">
        <color rgb="FF0081C6"/>
      </bottom>
      <diagonal/>
    </border>
    <border>
      <left/>
      <right/>
      <top/>
      <bottom style="thin">
        <color rgb="FF0081C6"/>
      </bottom>
      <diagonal/>
    </border>
    <border>
      <left/>
      <right style="thin">
        <color rgb="FF0081C6"/>
      </right>
      <top/>
      <bottom style="thin">
        <color rgb="FF0081C6"/>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diagonal/>
    </border>
    <border>
      <left/>
      <right style="thin">
        <color rgb="FF439539"/>
      </right>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medium">
        <color rgb="FF0081C6"/>
      </left>
      <right/>
      <top style="medium">
        <color rgb="FF0081C6"/>
      </top>
      <bottom style="medium">
        <color rgb="FF0081C6"/>
      </bottom>
      <diagonal/>
    </border>
    <border>
      <left/>
      <right/>
      <top style="medium">
        <color rgb="FF0081C6"/>
      </top>
      <bottom style="medium">
        <color rgb="FF0081C6"/>
      </bottom>
      <diagonal/>
    </border>
    <border>
      <left/>
      <right style="medium">
        <color rgb="FF0081C6"/>
      </right>
      <top style="medium">
        <color rgb="FF0081C6"/>
      </top>
      <bottom style="medium">
        <color rgb="FF0081C6"/>
      </bottom>
      <diagonal/>
    </border>
  </borders>
  <cellStyleXfs count="4">
    <xf numFmtId="0" fontId="0" fillId="0" borderId="0"/>
    <xf numFmtId="9" fontId="18" fillId="0" borderId="0" applyFont="0" applyFill="0" applyBorder="0" applyAlignment="0" applyProtection="0"/>
    <xf numFmtId="165" fontId="18" fillId="0" borderId="0" applyFont="0" applyFill="0" applyBorder="0" applyAlignment="0" applyProtection="0"/>
    <xf numFmtId="0" fontId="27" fillId="0" borderId="0" applyNumberFormat="0" applyFill="0" applyBorder="0" applyAlignment="0" applyProtection="0"/>
  </cellStyleXfs>
  <cellXfs count="311">
    <xf numFmtId="0" fontId="0" fillId="0" borderId="0" xfId="0"/>
    <xf numFmtId="0" fontId="0" fillId="0" borderId="0" xfId="0" quotePrefix="1"/>
    <xf numFmtId="17" fontId="7" fillId="0" borderId="0" xfId="0" applyNumberFormat="1" applyFont="1" applyAlignment="1">
      <alignment horizontal="center"/>
    </xf>
    <xf numFmtId="0" fontId="8" fillId="0" borderId="0" xfId="0" applyFont="1" applyAlignment="1">
      <alignment horizontal="center" vertical="center"/>
    </xf>
    <xf numFmtId="166" fontId="9" fillId="0" borderId="0" xfId="0" applyNumberFormat="1" applyFont="1" applyAlignment="1">
      <alignment horizontal="center" vertical="center"/>
    </xf>
    <xf numFmtId="0" fontId="6" fillId="0" borderId="0" xfId="0" applyFont="1"/>
    <xf numFmtId="17" fontId="6" fillId="0" borderId="0" xfId="0" applyNumberFormat="1" applyFont="1"/>
    <xf numFmtId="17" fontId="8" fillId="0" borderId="0" xfId="0" applyNumberFormat="1" applyFont="1" applyAlignment="1">
      <alignment vertical="center"/>
    </xf>
    <xf numFmtId="0" fontId="1" fillId="0" borderId="0" xfId="0" quotePrefix="1" applyFont="1" applyAlignment="1">
      <alignment horizontal="center"/>
    </xf>
    <xf numFmtId="0" fontId="10" fillId="0" borderId="0" xfId="0" quotePrefix="1" applyFont="1" applyAlignment="1">
      <alignment horizontal="center"/>
    </xf>
    <xf numFmtId="0" fontId="0" fillId="0" borderId="0" xfId="0" applyAlignment="1">
      <alignment horizontal="center"/>
    </xf>
    <xf numFmtId="17" fontId="0" fillId="0" borderId="7" xfId="0" applyNumberFormat="1" applyBorder="1" applyAlignment="1">
      <alignment horizontal="center"/>
    </xf>
    <xf numFmtId="0" fontId="0" fillId="0" borderId="12" xfId="0" applyBorder="1" applyAlignment="1">
      <alignment horizontal="center"/>
    </xf>
    <xf numFmtId="17" fontId="0" fillId="0" borderId="13" xfId="0" applyNumberFormat="1" applyBorder="1" applyAlignment="1">
      <alignment horizontal="center"/>
    </xf>
    <xf numFmtId="0" fontId="0" fillId="0" borderId="9" xfId="0" applyBorder="1" applyAlignment="1">
      <alignment horizontal="center"/>
    </xf>
    <xf numFmtId="17" fontId="0" fillId="0" borderId="10" xfId="0" applyNumberFormat="1"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11" xfId="0" applyBorder="1"/>
    <xf numFmtId="0" fontId="0" fillId="0" borderId="18" xfId="0" applyBorder="1"/>
    <xf numFmtId="0" fontId="0" fillId="0" borderId="4" xfId="0" applyBorder="1"/>
    <xf numFmtId="0" fontId="0" fillId="0" borderId="11" xfId="0" quotePrefix="1" applyBorder="1"/>
    <xf numFmtId="0" fontId="0" fillId="0" borderId="18" xfId="0" quotePrefix="1" applyBorder="1"/>
    <xf numFmtId="17" fontId="14" fillId="0" borderId="1" xfId="0" applyNumberFormat="1"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5" fillId="0" borderId="0" xfId="0" applyFont="1"/>
    <xf numFmtId="0" fontId="1" fillId="0" borderId="0" xfId="0" applyFont="1" applyAlignment="1">
      <alignment horizontal="center" vertical="center"/>
    </xf>
    <xf numFmtId="0" fontId="16" fillId="0" borderId="0" xfId="0" applyFont="1" applyAlignment="1">
      <alignment horizontal="left"/>
    </xf>
    <xf numFmtId="0" fontId="1" fillId="0" borderId="0" xfId="0" applyFont="1"/>
    <xf numFmtId="9" fontId="0" fillId="0" borderId="0" xfId="0" applyNumberFormat="1"/>
    <xf numFmtId="9" fontId="0" fillId="0" borderId="0" xfId="1" applyFont="1"/>
    <xf numFmtId="167" fontId="0" fillId="0" borderId="0" xfId="1" applyNumberFormat="1" applyFont="1"/>
    <xf numFmtId="0" fontId="10" fillId="0" borderId="0" xfId="0" applyFont="1"/>
    <xf numFmtId="0" fontId="17" fillId="0" borderId="0" xfId="0" applyFont="1" applyAlignment="1">
      <alignment wrapText="1"/>
    </xf>
    <xf numFmtId="168" fontId="22" fillId="0" borderId="0" xfId="2" applyNumberFormat="1" applyFont="1" applyBorder="1" applyAlignment="1">
      <alignment horizontal="center" vertical="center"/>
    </xf>
    <xf numFmtId="0" fontId="22" fillId="0" borderId="0" xfId="0" applyFont="1" applyAlignment="1">
      <alignment horizontal="center" vertical="center"/>
    </xf>
    <xf numFmtId="168" fontId="22" fillId="0" borderId="0" xfId="2" applyNumberFormat="1" applyFont="1" applyBorder="1" applyAlignment="1">
      <alignment horizontal="left"/>
    </xf>
    <xf numFmtId="0" fontId="0" fillId="5" borderId="0" xfId="0" applyFill="1"/>
    <xf numFmtId="0" fontId="0" fillId="6" borderId="0" xfId="0" applyFill="1"/>
    <xf numFmtId="0" fontId="0" fillId="7" borderId="0" xfId="0" applyFill="1"/>
    <xf numFmtId="0" fontId="0" fillId="8" borderId="0" xfId="0" applyFill="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9" borderId="0" xfId="0" applyFill="1"/>
    <xf numFmtId="0" fontId="5"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9" fontId="1" fillId="0" borderId="1" xfId="0" applyNumberFormat="1" applyFont="1" applyBorder="1" applyAlignment="1">
      <alignment horizontal="center"/>
    </xf>
    <xf numFmtId="0" fontId="0" fillId="18" borderId="0" xfId="0" applyFill="1"/>
    <xf numFmtId="0" fontId="0" fillId="19" borderId="0" xfId="0" applyFill="1"/>
    <xf numFmtId="0" fontId="0" fillId="20" borderId="0" xfId="0" applyFill="1"/>
    <xf numFmtId="0" fontId="24" fillId="0" borderId="0" xfId="0" applyFont="1"/>
    <xf numFmtId="0" fontId="25" fillId="0" borderId="0" xfId="0" applyFont="1"/>
    <xf numFmtId="0" fontId="23" fillId="0" borderId="0" xfId="0" applyFont="1" applyAlignment="1">
      <alignment vertical="center"/>
    </xf>
    <xf numFmtId="0" fontId="21" fillId="0" borderId="0" xfId="0" applyFont="1" applyAlignment="1">
      <alignment horizontal="center" vertical="center" wrapText="1"/>
    </xf>
    <xf numFmtId="169" fontId="0" fillId="0" borderId="0" xfId="0" applyNumberFormat="1"/>
    <xf numFmtId="169" fontId="0" fillId="0" borderId="0" xfId="0" applyNumberFormat="1" applyAlignment="1">
      <alignment horizontal="center"/>
    </xf>
    <xf numFmtId="169" fontId="0" fillId="0" borderId="0" xfId="0" quotePrefix="1" applyNumberFormat="1" applyAlignment="1">
      <alignment horizontal="center"/>
    </xf>
    <xf numFmtId="169" fontId="0" fillId="0" borderId="0" xfId="0" applyNumberFormat="1" applyAlignment="1">
      <alignment horizontal="right"/>
    </xf>
    <xf numFmtId="0" fontId="1" fillId="21" borderId="28" xfId="0" applyFont="1" applyFill="1" applyBorder="1"/>
    <xf numFmtId="169" fontId="22" fillId="0" borderId="0" xfId="0" applyNumberFormat="1" applyFont="1" applyAlignment="1">
      <alignment horizontal="center"/>
    </xf>
    <xf numFmtId="9" fontId="22" fillId="0" borderId="0" xfId="1" applyFont="1" applyBorder="1" applyAlignment="1">
      <alignment horizontal="center" vertical="center"/>
    </xf>
    <xf numFmtId="0" fontId="22" fillId="0" borderId="0" xfId="0" applyFont="1" applyAlignment="1">
      <alignment horizontal="center" vertical="center" wrapText="1"/>
    </xf>
    <xf numFmtId="9" fontId="22" fillId="0" borderId="0" xfId="1" applyFont="1" applyBorder="1" applyAlignment="1">
      <alignment horizontal="center"/>
    </xf>
    <xf numFmtId="0" fontId="17" fillId="0" borderId="0" xfId="0" applyFont="1" applyAlignment="1">
      <alignment horizontal="center" wrapText="1"/>
    </xf>
    <xf numFmtId="0" fontId="1" fillId="0" borderId="0" xfId="0" applyFont="1" applyAlignment="1">
      <alignment horizontal="center"/>
    </xf>
    <xf numFmtId="17" fontId="0" fillId="0" borderId="0" xfId="0" applyNumberFormat="1" applyAlignment="1">
      <alignment horizontal="center"/>
    </xf>
    <xf numFmtId="0" fontId="17" fillId="0" borderId="0" xfId="0" applyFont="1" applyAlignment="1">
      <alignment horizontal="center"/>
    </xf>
    <xf numFmtId="0" fontId="22" fillId="0" borderId="0" xfId="0" applyFont="1" applyAlignment="1">
      <alignment vertical="center" wrapText="1"/>
    </xf>
    <xf numFmtId="0" fontId="0" fillId="18" borderId="39" xfId="0" applyFill="1" applyBorder="1"/>
    <xf numFmtId="0" fontId="0" fillId="18" borderId="40" xfId="0" applyFill="1" applyBorder="1"/>
    <xf numFmtId="0" fontId="0" fillId="18" borderId="38" xfId="0" applyFill="1" applyBorder="1"/>
    <xf numFmtId="0" fontId="0" fillId="18" borderId="37" xfId="0" applyFill="1" applyBorder="1"/>
    <xf numFmtId="0" fontId="0" fillId="18" borderId="47" xfId="0" applyFill="1" applyBorder="1"/>
    <xf numFmtId="0" fontId="0" fillId="18" borderId="48" xfId="0" applyFill="1" applyBorder="1"/>
    <xf numFmtId="0" fontId="13" fillId="0" borderId="0" xfId="0" applyFont="1" applyAlignment="1">
      <alignment vertical="center"/>
    </xf>
    <xf numFmtId="0" fontId="3" fillId="6" borderId="1" xfId="0" applyFont="1" applyFill="1" applyBorder="1" applyAlignment="1" applyProtection="1">
      <alignment horizontal="center"/>
      <protection locked="0"/>
    </xf>
    <xf numFmtId="0" fontId="0" fillId="0" borderId="0" xfId="0" applyAlignment="1">
      <alignment horizontal="right"/>
    </xf>
    <xf numFmtId="0" fontId="28" fillId="0" borderId="0" xfId="3" applyFont="1"/>
    <xf numFmtId="0" fontId="29" fillId="0" borderId="0" xfId="0" applyFont="1"/>
    <xf numFmtId="0" fontId="30" fillId="0" borderId="0" xfId="0" applyFont="1"/>
    <xf numFmtId="49" fontId="29" fillId="0" borderId="0" xfId="0" applyNumberFormat="1" applyFont="1"/>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0" fillId="0" borderId="53" xfId="0" applyBorder="1"/>
    <xf numFmtId="0" fontId="0" fillId="0" borderId="54" xfId="0" applyBorder="1"/>
    <xf numFmtId="0" fontId="17" fillId="0" borderId="55" xfId="0" applyFont="1" applyBorder="1" applyAlignment="1">
      <alignment horizontal="center"/>
    </xf>
    <xf numFmtId="0" fontId="17" fillId="0" borderId="56" xfId="0" applyFont="1" applyBorder="1" applyAlignment="1">
      <alignment horizontal="center"/>
    </xf>
    <xf numFmtId="0" fontId="19" fillId="0" borderId="55" xfId="0" applyFont="1" applyBorder="1" applyAlignment="1">
      <alignment wrapText="1"/>
    </xf>
    <xf numFmtId="0" fontId="0" fillId="0" borderId="56" xfId="0" applyBorder="1"/>
    <xf numFmtId="0" fontId="0" fillId="0" borderId="55" xfId="0" applyBorder="1"/>
    <xf numFmtId="0" fontId="0" fillId="0" borderId="57" xfId="0" applyBorder="1"/>
    <xf numFmtId="0" fontId="0" fillId="0" borderId="58" xfId="0" applyBorder="1"/>
    <xf numFmtId="0" fontId="0" fillId="0" borderId="59" xfId="0" applyBorder="1"/>
    <xf numFmtId="0" fontId="17" fillId="0" borderId="55" xfId="0" applyFont="1" applyBorder="1" applyAlignment="1">
      <alignment horizontal="center" wrapText="1"/>
    </xf>
    <xf numFmtId="0" fontId="17" fillId="0" borderId="56" xfId="0" applyFont="1" applyBorder="1" applyAlignment="1">
      <alignment horizontal="center" wrapText="1"/>
    </xf>
    <xf numFmtId="169" fontId="22" fillId="0" borderId="58" xfId="0" applyNumberFormat="1" applyFont="1" applyBorder="1" applyAlignment="1">
      <alignment horizontal="center"/>
    </xf>
    <xf numFmtId="168" fontId="22" fillId="0" borderId="58" xfId="2" applyNumberFormat="1" applyFont="1" applyBorder="1" applyAlignment="1">
      <alignment horizontal="left"/>
    </xf>
    <xf numFmtId="0" fontId="22" fillId="0" borderId="58" xfId="0" applyFont="1" applyBorder="1" applyAlignment="1">
      <alignment horizontal="center" vertical="center"/>
    </xf>
    <xf numFmtId="168" fontId="22" fillId="0" borderId="58" xfId="2" applyNumberFormat="1" applyFont="1" applyBorder="1" applyAlignment="1">
      <alignment horizontal="center" vertical="center"/>
    </xf>
    <xf numFmtId="9" fontId="22" fillId="0" borderId="58" xfId="1" applyFont="1" applyBorder="1" applyAlignment="1">
      <alignment horizontal="center" vertical="center"/>
    </xf>
    <xf numFmtId="0" fontId="38" fillId="0" borderId="0" xfId="0" applyFont="1"/>
    <xf numFmtId="0" fontId="36" fillId="0" borderId="0" xfId="0" applyFont="1" applyAlignment="1">
      <alignment horizontal="center" vertical="center"/>
    </xf>
    <xf numFmtId="0" fontId="43" fillId="0" borderId="0" xfId="0" applyFont="1" applyAlignment="1">
      <alignment horizontal="left" vertical="top" wrapText="1"/>
    </xf>
    <xf numFmtId="0" fontId="31" fillId="0" borderId="0" xfId="0" applyFont="1" applyAlignment="1">
      <alignment horizontal="center" vertical="center"/>
    </xf>
    <xf numFmtId="0" fontId="24" fillId="0" borderId="0" xfId="0" applyFont="1" applyAlignment="1">
      <alignment horizontal="left" vertical="top" wrapText="1"/>
    </xf>
    <xf numFmtId="0" fontId="24" fillId="0" borderId="0" xfId="0" applyFont="1" applyAlignment="1">
      <alignment vertical="top" wrapText="1"/>
    </xf>
    <xf numFmtId="0" fontId="31" fillId="0" borderId="0" xfId="0" applyFont="1" applyAlignment="1">
      <alignment vertical="center"/>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46" fillId="0" borderId="0" xfId="0" applyFont="1"/>
    <xf numFmtId="0" fontId="47" fillId="0" borderId="0" xfId="0" applyFont="1"/>
    <xf numFmtId="0" fontId="27" fillId="0" borderId="0" xfId="3" applyAlignment="1">
      <alignment vertical="center"/>
    </xf>
    <xf numFmtId="0" fontId="32" fillId="0" borderId="0" xfId="0" applyFont="1" applyAlignment="1">
      <alignment horizontal="left"/>
    </xf>
    <xf numFmtId="0" fontId="52" fillId="0" borderId="63" xfId="0" applyFont="1" applyBorder="1" applyAlignment="1">
      <alignment vertical="top" wrapText="1"/>
    </xf>
    <xf numFmtId="0" fontId="52" fillId="0" borderId="0" xfId="0" applyFont="1" applyAlignment="1">
      <alignment vertical="top" wrapText="1"/>
    </xf>
    <xf numFmtId="0" fontId="52" fillId="0" borderId="64" xfId="0" applyFont="1" applyBorder="1" applyAlignment="1">
      <alignment vertical="top" wrapText="1"/>
    </xf>
    <xf numFmtId="0" fontId="52" fillId="0" borderId="63" xfId="0" applyFont="1" applyBorder="1"/>
    <xf numFmtId="0" fontId="52" fillId="0" borderId="0" xfId="0" applyFont="1"/>
    <xf numFmtId="0" fontId="52" fillId="0" borderId="64" xfId="0" applyFont="1" applyBorder="1"/>
    <xf numFmtId="0" fontId="24" fillId="0" borderId="14" xfId="0" applyFont="1" applyBorder="1" applyAlignment="1">
      <alignment horizontal="center"/>
    </xf>
    <xf numFmtId="0" fontId="24" fillId="0" borderId="1" xfId="0" applyFont="1" applyBorder="1" applyAlignment="1">
      <alignment horizontal="center" vertical="center"/>
    </xf>
    <xf numFmtId="17" fontId="24" fillId="0" borderId="18" xfId="0" applyNumberFormat="1" applyFont="1" applyBorder="1" applyAlignment="1">
      <alignment horizontal="center"/>
    </xf>
    <xf numFmtId="17" fontId="53" fillId="4" borderId="1" xfId="0" applyNumberFormat="1" applyFont="1" applyFill="1" applyBorder="1" applyAlignment="1">
      <alignment horizontal="center" vertical="center"/>
    </xf>
    <xf numFmtId="17" fontId="53" fillId="19" borderId="11" xfId="0" applyNumberFormat="1" applyFont="1" applyFill="1" applyBorder="1" applyAlignment="1">
      <alignment horizont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55" fillId="19" borderId="26"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 xfId="0" applyFont="1" applyFill="1" applyBorder="1" applyAlignment="1">
      <alignment horizontal="center" vertical="center"/>
    </xf>
    <xf numFmtId="17" fontId="53" fillId="19" borderId="18" xfId="0" applyNumberFormat="1" applyFont="1" applyFill="1" applyBorder="1" applyAlignment="1">
      <alignment horizontal="center"/>
    </xf>
    <xf numFmtId="0" fontId="24" fillId="2" borderId="27" xfId="0" applyFont="1" applyFill="1" applyBorder="1" applyAlignment="1">
      <alignment horizontal="center" vertical="center"/>
    </xf>
    <xf numFmtId="0" fontId="24" fillId="0" borderId="0" xfId="0" applyFont="1" applyAlignment="1">
      <alignment horizontal="center" vertical="center"/>
    </xf>
    <xf numFmtId="0" fontId="55" fillId="19" borderId="0" xfId="0" applyFont="1" applyFill="1" applyAlignment="1">
      <alignment horizontal="center" vertical="center"/>
    </xf>
    <xf numFmtId="0" fontId="24" fillId="3" borderId="0" xfId="0" applyFont="1" applyFill="1" applyAlignment="1">
      <alignment horizontal="center" vertical="center"/>
    </xf>
    <xf numFmtId="0" fontId="24" fillId="3" borderId="24" xfId="0" applyFont="1" applyFill="1" applyBorder="1" applyAlignment="1">
      <alignment horizontal="center" vertical="center"/>
    </xf>
    <xf numFmtId="0" fontId="24" fillId="3" borderId="27" xfId="0" applyFont="1" applyFill="1" applyBorder="1" applyAlignment="1">
      <alignment horizontal="center" vertical="center"/>
    </xf>
    <xf numFmtId="17" fontId="53" fillId="19" borderId="4" xfId="0" applyNumberFormat="1" applyFont="1" applyFill="1" applyBorder="1" applyAlignment="1">
      <alignment horizontal="center"/>
    </xf>
    <xf numFmtId="0" fontId="24" fillId="3" borderId="22" xfId="0" applyFont="1" applyFill="1" applyBorder="1" applyAlignment="1">
      <alignment horizontal="center" vertical="center"/>
    </xf>
    <xf numFmtId="0" fontId="24" fillId="3" borderId="3" xfId="0" applyFont="1" applyFill="1" applyBorder="1" applyAlignment="1">
      <alignment horizontal="center" vertical="center"/>
    </xf>
    <xf numFmtId="0" fontId="24" fillId="0" borderId="3" xfId="0" applyFont="1" applyBorder="1" applyAlignment="1">
      <alignment horizontal="center" vertical="center"/>
    </xf>
    <xf numFmtId="0" fontId="55" fillId="19" borderId="23" xfId="0" applyFont="1" applyFill="1" applyBorder="1" applyAlignment="1">
      <alignment horizontal="center" vertical="center"/>
    </xf>
    <xf numFmtId="0" fontId="24" fillId="0" borderId="1" xfId="0" applyFont="1" applyBorder="1" applyAlignment="1">
      <alignment horizont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2" borderId="21" xfId="0" applyFont="1" applyFill="1" applyBorder="1" applyAlignment="1">
      <alignment horizontal="center" vertical="center"/>
    </xf>
    <xf numFmtId="0" fontId="24" fillId="0" borderId="17" xfId="0" applyFont="1" applyBorder="1" applyAlignment="1">
      <alignment horizontal="center" vertical="center"/>
    </xf>
    <xf numFmtId="0" fontId="24" fillId="3" borderId="21" xfId="0" applyFont="1" applyFill="1" applyBorder="1" applyAlignment="1">
      <alignment horizontal="center" vertical="center"/>
    </xf>
    <xf numFmtId="0" fontId="24" fillId="3" borderId="17" xfId="0" applyFont="1" applyFill="1" applyBorder="1" applyAlignment="1">
      <alignment horizontal="center" vertical="center"/>
    </xf>
    <xf numFmtId="0" fontId="50" fillId="0" borderId="0" xfId="3" applyFont="1" applyAlignment="1" applyProtection="1">
      <alignment horizontal="right"/>
      <protection locked="0"/>
    </xf>
    <xf numFmtId="1" fontId="0" fillId="0" borderId="0" xfId="0" applyNumberFormat="1"/>
    <xf numFmtId="0" fontId="56" fillId="0" borderId="0" xfId="0" applyFont="1" applyAlignment="1">
      <alignment horizontal="center" vertical="center"/>
    </xf>
    <xf numFmtId="0" fontId="39" fillId="0" borderId="0" xfId="3" applyFont="1" applyAlignment="1" applyProtection="1">
      <alignment horizontal="left"/>
    </xf>
    <xf numFmtId="0" fontId="57" fillId="0" borderId="0" xfId="0" applyFont="1" applyAlignment="1">
      <alignment vertical="top" wrapText="1"/>
    </xf>
    <xf numFmtId="0" fontId="38" fillId="0" borderId="0" xfId="0" applyFont="1" applyAlignment="1">
      <alignment vertical="center"/>
    </xf>
    <xf numFmtId="0" fontId="38" fillId="0" borderId="0" xfId="0" applyFont="1" applyAlignment="1">
      <alignment vertical="top" wrapText="1"/>
    </xf>
    <xf numFmtId="164" fontId="0" fillId="0" borderId="0" xfId="0" applyNumberFormat="1" applyAlignment="1">
      <alignment horizontal="right"/>
    </xf>
    <xf numFmtId="3" fontId="0" fillId="0" borderId="0" xfId="0" applyNumberFormat="1" applyAlignment="1">
      <alignment horizontal="right"/>
    </xf>
    <xf numFmtId="169" fontId="0" fillId="0" borderId="0" xfId="0" applyNumberFormat="1" applyAlignment="1">
      <alignment horizontal="left"/>
    </xf>
    <xf numFmtId="167" fontId="0" fillId="0" borderId="0" xfId="0" applyNumberFormat="1" applyAlignment="1">
      <alignment horizontal="right"/>
    </xf>
    <xf numFmtId="9" fontId="0" fillId="0" borderId="0" xfId="0" applyNumberFormat="1" applyAlignment="1">
      <alignment horizontal="right"/>
    </xf>
    <xf numFmtId="0" fontId="38" fillId="0" borderId="36" xfId="0" applyFont="1" applyBorder="1" applyAlignment="1">
      <alignment horizontal="center" vertical="top" wrapText="1"/>
    </xf>
    <xf numFmtId="0" fontId="38" fillId="0" borderId="34" xfId="0" applyFont="1" applyBorder="1" applyAlignment="1">
      <alignment horizontal="center" vertical="top" wrapText="1"/>
    </xf>
    <xf numFmtId="0" fontId="38" fillId="0" borderId="29" xfId="0" applyFont="1" applyBorder="1" applyAlignment="1">
      <alignment horizontal="center" vertical="top" wrapText="1"/>
    </xf>
    <xf numFmtId="0" fontId="38" fillId="0" borderId="30" xfId="0" applyFont="1" applyBorder="1" applyAlignment="1">
      <alignment horizontal="center" vertical="top" wrapText="1"/>
    </xf>
    <xf numFmtId="0" fontId="38" fillId="0" borderId="31" xfId="0" applyFont="1" applyBorder="1" applyAlignment="1">
      <alignment horizontal="center" vertical="top" wrapText="1"/>
    </xf>
    <xf numFmtId="0" fontId="38" fillId="0" borderId="35" xfId="0" applyFont="1" applyBorder="1" applyAlignment="1">
      <alignment horizontal="center" vertical="top" wrapText="1"/>
    </xf>
    <xf numFmtId="0" fontId="38" fillId="0" borderId="0" xfId="0" applyFont="1" applyAlignment="1">
      <alignment horizontal="center" vertical="top" wrapText="1"/>
    </xf>
    <xf numFmtId="0" fontId="38" fillId="0" borderId="32" xfId="0" applyFont="1" applyBorder="1" applyAlignment="1">
      <alignment horizontal="center" vertical="top" wrapText="1"/>
    </xf>
    <xf numFmtId="0" fontId="38" fillId="0" borderId="33" xfId="0" applyFont="1" applyBorder="1" applyAlignment="1">
      <alignment horizontal="center" vertical="top" wrapText="1"/>
    </xf>
    <xf numFmtId="0" fontId="0" fillId="0" borderId="0" xfId="0" applyAlignment="1">
      <alignment horizontal="left"/>
    </xf>
    <xf numFmtId="0" fontId="50" fillId="0" borderId="0" xfId="3" applyFont="1" applyAlignment="1" applyProtection="1">
      <alignment vertical="top" wrapText="1"/>
    </xf>
    <xf numFmtId="168" fontId="38" fillId="0" borderId="30" xfId="2" applyNumberFormat="1" applyFont="1" applyBorder="1" applyAlignment="1">
      <alignment horizontal="center" vertical="top" wrapText="1"/>
    </xf>
    <xf numFmtId="168" fontId="38" fillId="0" borderId="30" xfId="2" quotePrefix="1" applyNumberFormat="1" applyFont="1" applyBorder="1" applyAlignment="1">
      <alignment horizontal="center" vertical="top" wrapText="1"/>
    </xf>
    <xf numFmtId="168" fontId="38" fillId="0" borderId="0" xfId="2" applyNumberFormat="1" applyFont="1" applyBorder="1" applyAlignment="1">
      <alignment horizontal="center" vertical="top" wrapText="1"/>
    </xf>
    <xf numFmtId="168" fontId="38" fillId="0" borderId="33" xfId="2" applyNumberFormat="1" applyFont="1" applyBorder="1" applyAlignment="1">
      <alignment horizontal="center" vertical="top" wrapText="1"/>
    </xf>
    <xf numFmtId="169" fontId="0" fillId="18" borderId="37" xfId="0" applyNumberFormat="1" applyFill="1" applyBorder="1" applyAlignment="1">
      <alignment wrapText="1"/>
    </xf>
    <xf numFmtId="0" fontId="0" fillId="18" borderId="38" xfId="0" applyFill="1" applyBorder="1" applyAlignment="1">
      <alignment wrapText="1"/>
    </xf>
    <xf numFmtId="0" fontId="0" fillId="18" borderId="39" xfId="0" applyFill="1" applyBorder="1" applyAlignment="1">
      <alignment wrapText="1"/>
    </xf>
    <xf numFmtId="0" fontId="0" fillId="18" borderId="40" xfId="0" applyFill="1" applyBorder="1" applyAlignment="1">
      <alignment wrapText="1"/>
    </xf>
    <xf numFmtId="0" fontId="0" fillId="0" borderId="0" xfId="0" applyAlignment="1">
      <alignment wrapText="1"/>
    </xf>
    <xf numFmtId="0" fontId="0" fillId="18" borderId="37" xfId="0" applyFill="1" applyBorder="1" applyAlignment="1">
      <alignment wrapText="1"/>
    </xf>
    <xf numFmtId="0" fontId="1" fillId="21" borderId="38" xfId="0" applyFont="1" applyFill="1" applyBorder="1" applyAlignment="1">
      <alignment wrapText="1"/>
    </xf>
    <xf numFmtId="0" fontId="1" fillId="21" borderId="39" xfId="0" applyFont="1" applyFill="1" applyBorder="1" applyAlignment="1">
      <alignment wrapText="1"/>
    </xf>
    <xf numFmtId="0" fontId="1" fillId="21" borderId="40" xfId="0" applyFont="1" applyFill="1" applyBorder="1" applyAlignment="1">
      <alignment wrapText="1"/>
    </xf>
    <xf numFmtId="169" fontId="0" fillId="0" borderId="0" xfId="0" applyNumberFormat="1" applyAlignment="1">
      <alignment wrapText="1"/>
    </xf>
    <xf numFmtId="0" fontId="59" fillId="0" borderId="0" xfId="0" applyFont="1"/>
    <xf numFmtId="0" fontId="62" fillId="0" borderId="0" xfId="0" applyFont="1"/>
    <xf numFmtId="49" fontId="0" fillId="0" borderId="0" xfId="0" applyNumberFormat="1"/>
    <xf numFmtId="3" fontId="0" fillId="0" borderId="0" xfId="0" applyNumberFormat="1"/>
    <xf numFmtId="0" fontId="38" fillId="0" borderId="0" xfId="0" applyFont="1" applyAlignment="1">
      <alignment horizontal="left" vertical="top" wrapText="1"/>
    </xf>
    <xf numFmtId="0" fontId="39" fillId="0" borderId="0" xfId="3" applyFont="1" applyAlignment="1" applyProtection="1">
      <alignment horizontal="left"/>
      <protection locked="0"/>
    </xf>
    <xf numFmtId="0" fontId="38" fillId="0" borderId="0" xfId="0" applyFont="1" applyAlignment="1">
      <alignment horizontal="left" wrapText="1"/>
    </xf>
    <xf numFmtId="0" fontId="38" fillId="0" borderId="0" xfId="0" applyFont="1" applyAlignment="1">
      <alignment horizontal="left" vertical="center"/>
    </xf>
    <xf numFmtId="0" fontId="38" fillId="0" borderId="68"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68" xfId="0" applyFont="1" applyBorder="1" applyAlignment="1">
      <alignment horizontal="center" vertical="center"/>
    </xf>
    <xf numFmtId="0" fontId="38" fillId="0" borderId="69" xfId="0" applyFont="1" applyBorder="1" applyAlignment="1">
      <alignment horizontal="center" vertical="center"/>
    </xf>
    <xf numFmtId="17" fontId="35" fillId="0" borderId="0" xfId="0" applyNumberFormat="1" applyFont="1" applyAlignment="1">
      <alignment horizontal="left" vertical="top" wrapText="1"/>
    </xf>
    <xf numFmtId="17" fontId="38" fillId="0" borderId="0" xfId="0" applyNumberFormat="1" applyFont="1" applyAlignment="1">
      <alignment horizontal="left" vertical="top" wrapText="1"/>
    </xf>
    <xf numFmtId="0" fontId="56" fillId="6" borderId="0" xfId="0" applyFont="1" applyFill="1" applyAlignment="1">
      <alignment horizontal="center" vertical="center" wrapText="1"/>
    </xf>
    <xf numFmtId="0" fontId="42" fillId="6" borderId="0" xfId="0" applyFont="1" applyFill="1" applyAlignment="1">
      <alignment horizontal="center" vertical="center"/>
    </xf>
    <xf numFmtId="0" fontId="39" fillId="0" borderId="0" xfId="3" applyFont="1" applyAlignment="1" applyProtection="1">
      <alignment horizontal="left" vertical="top" wrapText="1"/>
      <protection locked="0"/>
    </xf>
    <xf numFmtId="0" fontId="45" fillId="0" borderId="68" xfId="0" applyFont="1" applyBorder="1" applyAlignment="1">
      <alignment horizontal="center" vertical="top" wrapText="1"/>
    </xf>
    <xf numFmtId="0" fontId="40" fillId="6" borderId="0" xfId="0" applyFont="1" applyFill="1" applyAlignment="1">
      <alignment horizontal="center" vertical="center" wrapText="1"/>
    </xf>
    <xf numFmtId="0" fontId="56" fillId="6" borderId="0" xfId="0" applyFont="1" applyFill="1" applyAlignment="1">
      <alignment horizontal="center" vertical="center"/>
    </xf>
    <xf numFmtId="0" fontId="24" fillId="0" borderId="0" xfId="0" applyFont="1" applyAlignment="1">
      <alignment horizontal="left" wrapText="1"/>
    </xf>
    <xf numFmtId="0" fontId="24" fillId="0" borderId="0" xfId="0" applyFont="1" applyAlignment="1">
      <alignment horizontal="left" vertical="top" wrapText="1"/>
    </xf>
    <xf numFmtId="0" fontId="50" fillId="0" borderId="0" xfId="3" applyFont="1" applyAlignment="1" applyProtection="1">
      <alignment horizontal="left" vertical="top" wrapText="1"/>
      <protection locked="0"/>
    </xf>
    <xf numFmtId="0" fontId="50" fillId="0" borderId="0" xfId="3" applyFont="1" applyAlignment="1" applyProtection="1">
      <alignment horizontal="left"/>
      <protection locked="0"/>
    </xf>
    <xf numFmtId="0" fontId="1" fillId="0" borderId="70" xfId="0" applyFont="1" applyBorder="1" applyAlignment="1">
      <alignment horizontal="center"/>
    </xf>
    <xf numFmtId="0" fontId="1" fillId="0" borderId="71" xfId="0" applyFont="1" applyBorder="1" applyAlignment="1">
      <alignment horizontal="center"/>
    </xf>
    <xf numFmtId="0" fontId="1" fillId="0" borderId="72" xfId="0" applyFont="1" applyBorder="1" applyAlignment="1">
      <alignment horizontal="center"/>
    </xf>
    <xf numFmtId="0" fontId="31" fillId="6" borderId="0" xfId="0" applyFont="1" applyFill="1" applyAlignment="1">
      <alignment horizontal="center" vertical="center"/>
    </xf>
    <xf numFmtId="0" fontId="1" fillId="0" borderId="49" xfId="0" applyFont="1"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169" fontId="1" fillId="0" borderId="70" xfId="0" quotePrefix="1" applyNumberFormat="1" applyFont="1" applyBorder="1" applyAlignment="1">
      <alignment horizontal="center"/>
    </xf>
    <xf numFmtId="169" fontId="1" fillId="0" borderId="71" xfId="0" quotePrefix="1" applyNumberFormat="1" applyFont="1" applyBorder="1" applyAlignment="1">
      <alignment horizontal="center"/>
    </xf>
    <xf numFmtId="169" fontId="1" fillId="0" borderId="72" xfId="0" quotePrefix="1" applyNumberFormat="1" applyFont="1" applyBorder="1" applyAlignment="1">
      <alignment horizontal="center"/>
    </xf>
    <xf numFmtId="1" fontId="32" fillId="0" borderId="30" xfId="2" applyNumberFormat="1" applyFont="1" applyBorder="1" applyAlignment="1">
      <alignment horizontal="center" vertical="center" wrapText="1"/>
    </xf>
    <xf numFmtId="1" fontId="32" fillId="0" borderId="33" xfId="2" applyNumberFormat="1" applyFont="1" applyBorder="1" applyAlignment="1">
      <alignment horizontal="center" vertical="center" wrapText="1"/>
    </xf>
    <xf numFmtId="167" fontId="33" fillId="0" borderId="30" xfId="1" applyNumberFormat="1" applyFont="1" applyBorder="1" applyAlignment="1">
      <alignment horizontal="center" vertical="center"/>
    </xf>
    <xf numFmtId="167" fontId="33" fillId="0" borderId="33" xfId="1" applyNumberFormat="1" applyFont="1" applyBorder="1" applyAlignment="1">
      <alignment horizontal="center" vertical="center"/>
    </xf>
    <xf numFmtId="0" fontId="38" fillId="0" borderId="31" xfId="0" applyFont="1" applyBorder="1" applyAlignment="1">
      <alignment horizontal="center" vertical="center"/>
    </xf>
    <xf numFmtId="0" fontId="38" fillId="0" borderId="34" xfId="0" applyFont="1" applyBorder="1" applyAlignment="1">
      <alignment horizontal="center" vertical="center"/>
    </xf>
    <xf numFmtId="0" fontId="32" fillId="0" borderId="30" xfId="0" applyFont="1" applyBorder="1" applyAlignment="1">
      <alignment horizontal="center" vertical="center"/>
    </xf>
    <xf numFmtId="0" fontId="32" fillId="0" borderId="33" xfId="0" applyFont="1" applyBorder="1" applyAlignment="1">
      <alignment horizontal="center" vertical="center"/>
    </xf>
    <xf numFmtId="3" fontId="32" fillId="0" borderId="30" xfId="2" applyNumberFormat="1" applyFont="1" applyBorder="1" applyAlignment="1">
      <alignment horizontal="center" vertical="center"/>
    </xf>
    <xf numFmtId="3" fontId="32" fillId="0" borderId="33" xfId="2" applyNumberFormat="1" applyFont="1" applyBorder="1" applyAlignment="1">
      <alignment horizontal="center" vertical="center"/>
    </xf>
    <xf numFmtId="169" fontId="32" fillId="0" borderId="29" xfId="0" applyNumberFormat="1" applyFont="1" applyBorder="1" applyAlignment="1">
      <alignment horizontal="center" vertical="center"/>
    </xf>
    <xf numFmtId="169" fontId="32" fillId="0" borderId="32" xfId="0" applyNumberFormat="1" applyFont="1" applyBorder="1" applyAlignment="1">
      <alignment horizontal="center" vertical="center"/>
    </xf>
    <xf numFmtId="0" fontId="0" fillId="0" borderId="0" xfId="0" applyAlignment="1">
      <alignment horizontal="center"/>
    </xf>
    <xf numFmtId="0" fontId="39" fillId="0" borderId="0" xfId="3" applyFont="1" applyAlignment="1" applyProtection="1">
      <alignment horizontal="right"/>
      <protection locked="0"/>
    </xf>
    <xf numFmtId="0" fontId="34" fillId="0" borderId="55" xfId="0" applyFont="1" applyBorder="1" applyAlignment="1">
      <alignment horizontal="center" wrapText="1"/>
    </xf>
    <xf numFmtId="0" fontId="34" fillId="0" borderId="0" xfId="0" applyFont="1" applyAlignment="1">
      <alignment horizontal="center" wrapText="1"/>
    </xf>
    <xf numFmtId="0" fontId="34" fillId="0" borderId="56" xfId="0" applyFont="1" applyBorder="1" applyAlignment="1">
      <alignment horizontal="center" wrapText="1"/>
    </xf>
    <xf numFmtId="0" fontId="32" fillId="0" borderId="0" xfId="0" applyFont="1" applyAlignment="1">
      <alignment horizontal="left"/>
    </xf>
    <xf numFmtId="0" fontId="34" fillId="0" borderId="55" xfId="0" applyFont="1" applyBorder="1" applyAlignment="1">
      <alignment horizontal="center"/>
    </xf>
    <xf numFmtId="0" fontId="34" fillId="0" borderId="0" xfId="0" applyFont="1" applyAlignment="1">
      <alignment horizontal="center"/>
    </xf>
    <xf numFmtId="0" fontId="34" fillId="0" borderId="56" xfId="0" applyFont="1" applyBorder="1" applyAlignment="1">
      <alignment horizontal="center"/>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9" fillId="0" borderId="0" xfId="3" applyFont="1" applyAlignment="1" applyProtection="1">
      <alignment horizontal="right" vertical="top" wrapText="1"/>
      <protection locked="0"/>
    </xf>
    <xf numFmtId="169" fontId="32" fillId="0" borderId="31" xfId="0" applyNumberFormat="1" applyFont="1" applyBorder="1" applyAlignment="1">
      <alignment horizontal="center" vertical="center"/>
    </xf>
    <xf numFmtId="169" fontId="32" fillId="0" borderId="35" xfId="0" applyNumberFormat="1" applyFont="1" applyBorder="1" applyAlignment="1">
      <alignment horizontal="center" vertical="center"/>
    </xf>
    <xf numFmtId="169" fontId="32" fillId="0" borderId="36" xfId="0" applyNumberFormat="1" applyFont="1" applyBorder="1" applyAlignment="1">
      <alignment horizontal="center" vertical="center"/>
    </xf>
    <xf numFmtId="169" fontId="32" fillId="0" borderId="34" xfId="0" applyNumberFormat="1" applyFont="1" applyBorder="1" applyAlignment="1">
      <alignment horizontal="center" vertical="center"/>
    </xf>
    <xf numFmtId="0" fontId="0" fillId="0" borderId="29" xfId="0" applyBorder="1" applyAlignment="1">
      <alignment horizontal="center"/>
    </xf>
    <xf numFmtId="0" fontId="0" fillId="0" borderId="31"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38" fillId="0" borderId="31" xfId="0" applyFont="1" applyBorder="1" applyAlignment="1">
      <alignment horizontal="center"/>
    </xf>
    <xf numFmtId="0" fontId="38" fillId="0" borderId="34" xfId="0" applyFont="1" applyBorder="1" applyAlignment="1">
      <alignment horizontal="center"/>
    </xf>
    <xf numFmtId="0" fontId="52" fillId="0" borderId="63" xfId="0" applyFont="1" applyBorder="1" applyAlignment="1">
      <alignment horizontal="left" vertical="top" wrapText="1"/>
    </xf>
    <xf numFmtId="0" fontId="52" fillId="0" borderId="0" xfId="0" applyFont="1" applyAlignment="1">
      <alignment horizontal="left" vertical="top" wrapText="1"/>
    </xf>
    <xf numFmtId="0" fontId="52" fillId="0" borderId="64" xfId="0" applyFont="1" applyBorder="1" applyAlignment="1">
      <alignment horizontal="left" vertical="top" wrapText="1"/>
    </xf>
    <xf numFmtId="0" fontId="52" fillId="0" borderId="65" xfId="0" applyFont="1" applyBorder="1" applyAlignment="1">
      <alignment horizontal="left"/>
    </xf>
    <xf numFmtId="0" fontId="52" fillId="0" borderId="66" xfId="0" applyFont="1" applyBorder="1" applyAlignment="1">
      <alignment horizontal="left"/>
    </xf>
    <xf numFmtId="0" fontId="52" fillId="0" borderId="67" xfId="0" applyFont="1" applyBorder="1" applyAlignment="1">
      <alignment horizontal="left"/>
    </xf>
    <xf numFmtId="0" fontId="52" fillId="0" borderId="60" xfId="0" applyFont="1" applyBorder="1" applyAlignment="1">
      <alignment horizontal="left" vertical="top" wrapText="1"/>
    </xf>
    <xf numFmtId="0" fontId="52" fillId="0" borderId="61" xfId="0" applyFont="1" applyBorder="1" applyAlignment="1">
      <alignment horizontal="left" vertical="top" wrapText="1"/>
    </xf>
    <xf numFmtId="0" fontId="52" fillId="0" borderId="62" xfId="0" applyFont="1" applyBorder="1" applyAlignment="1">
      <alignment horizontal="left" vertical="top" wrapText="1"/>
    </xf>
    <xf numFmtId="0" fontId="40" fillId="11" borderId="11" xfId="0" applyFont="1" applyFill="1" applyBorder="1" applyAlignment="1">
      <alignment horizontal="center" textRotation="90"/>
    </xf>
    <xf numFmtId="0" fontId="40" fillId="11" borderId="18" xfId="0" applyFont="1" applyFill="1" applyBorder="1" applyAlignment="1">
      <alignment horizontal="center" textRotation="90"/>
    </xf>
    <xf numFmtId="0" fontId="40" fillId="11" borderId="4" xfId="0" applyFont="1" applyFill="1" applyBorder="1" applyAlignment="1">
      <alignment horizontal="center" textRotation="90"/>
    </xf>
    <xf numFmtId="0" fontId="50" fillId="0" borderId="0" xfId="3" applyFont="1" applyAlignment="1" applyProtection="1">
      <alignment horizontal="right"/>
      <protection locked="0"/>
    </xf>
    <xf numFmtId="0" fontId="13" fillId="0" borderId="5" xfId="0" quotePrefix="1" applyFont="1" applyBorder="1" applyAlignment="1">
      <alignment horizontal="center"/>
    </xf>
    <xf numFmtId="0" fontId="13" fillId="0" borderId="6" xfId="0" quotePrefix="1" applyFont="1" applyBorder="1" applyAlignment="1">
      <alignment horizontal="center"/>
    </xf>
    <xf numFmtId="0" fontId="13" fillId="0" borderId="7" xfId="0" quotePrefix="1" applyFont="1" applyBorder="1" applyAlignment="1">
      <alignment horizontal="center"/>
    </xf>
    <xf numFmtId="0" fontId="5" fillId="0" borderId="14" xfId="0" quotePrefix="1" applyFont="1" applyBorder="1" applyAlignment="1">
      <alignment horizontal="center"/>
    </xf>
    <xf numFmtId="0" fontId="5" fillId="0" borderId="15" xfId="0" quotePrefix="1" applyFont="1" applyBorder="1" applyAlignment="1">
      <alignment horizontal="center"/>
    </xf>
    <xf numFmtId="0" fontId="5" fillId="0" borderId="16" xfId="0" quotePrefix="1" applyFont="1" applyBorder="1" applyAlignment="1">
      <alignment horizontal="center"/>
    </xf>
    <xf numFmtId="0" fontId="26" fillId="0" borderId="0" xfId="0" applyFont="1" applyAlignment="1">
      <alignment horizontal="center"/>
    </xf>
    <xf numFmtId="0" fontId="13" fillId="0" borderId="41" xfId="0" applyFont="1" applyBorder="1" applyAlignment="1">
      <alignment horizontal="center" wrapText="1"/>
    </xf>
    <xf numFmtId="0" fontId="13" fillId="0" borderId="42" xfId="0" applyFont="1" applyBorder="1" applyAlignment="1">
      <alignment horizontal="center"/>
    </xf>
    <xf numFmtId="0" fontId="13" fillId="0" borderId="43" xfId="0" applyFont="1" applyBorder="1" applyAlignment="1">
      <alignment horizontal="center"/>
    </xf>
    <xf numFmtId="0" fontId="13" fillId="0" borderId="44" xfId="0" applyFont="1" applyBorder="1" applyAlignment="1">
      <alignment horizontal="center"/>
    </xf>
    <xf numFmtId="0" fontId="13" fillId="0" borderId="45" xfId="0" applyFont="1" applyBorder="1" applyAlignment="1">
      <alignment horizontal="center"/>
    </xf>
    <xf numFmtId="0" fontId="13" fillId="0" borderId="46"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0" fillId="0" borderId="0" xfId="0" applyFont="1" applyAlignment="1">
      <alignment horizontal="center" wrapText="1"/>
    </xf>
    <xf numFmtId="0" fontId="41" fillId="0" borderId="0" xfId="0" applyFont="1" applyAlignment="1">
      <alignment horizontal="left" wrapText="1"/>
    </xf>
    <xf numFmtId="0" fontId="61" fillId="0" borderId="0" xfId="0" applyFont="1" applyAlignment="1">
      <alignment horizontal="left" wrapText="1"/>
    </xf>
  </cellXfs>
  <cellStyles count="4">
    <cellStyle name="Comma" xfId="2" builtinId="3"/>
    <cellStyle name="Hyperlink" xfId="3" builtinId="8"/>
    <cellStyle name="Normal" xfId="0" builtinId="0"/>
    <cellStyle name="Percent" xfId="1" builtinId="5"/>
  </cellStyles>
  <dxfs count="102">
    <dxf>
      <font>
        <color rgb="FF78278B"/>
      </font>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horizontal="right" readingOrder="0"/>
    </dxf>
    <dxf>
      <alignment horizontal="right" readingOrder="0"/>
    </dxf>
    <dxf>
      <numFmt numFmtId="169" formatCode="[$-409]mmm\-yy;@"/>
    </dxf>
    <dxf>
      <numFmt numFmtId="169" formatCode="[$-409]mmm\-yy;@"/>
    </dxf>
    <dxf>
      <alignment wrapText="1" readingOrder="0"/>
    </dxf>
    <dxf>
      <fill>
        <patternFill patternType="solid">
          <fgColor indexed="64"/>
          <bgColor rgb="FFBFE0F1"/>
        </patternFill>
      </fill>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alignment horizontal="right" readingOrder="0"/>
    </dxf>
    <dxf>
      <alignment horizontal="right" readingOrder="0"/>
    </dxf>
    <dxf>
      <alignment wrapText="1" readingOrder="0"/>
    </dxf>
    <dxf>
      <alignment wrapText="1" readingOrder="0"/>
    </dxf>
    <dxf>
      <numFmt numFmtId="167" formatCode="0.0%"/>
    </dxf>
    <dxf>
      <border>
        <top style="thin">
          <color rgb="FF0081C6"/>
        </top>
        <bottom style="thin">
          <color rgb="FF0081C6"/>
        </bottom>
      </border>
    </dxf>
    <dxf>
      <fill>
        <patternFill patternType="solid">
          <bgColor rgb="FFBFE0F1"/>
        </patternFill>
      </fill>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wrapText="1" readingOrder="0"/>
    </dxf>
    <dxf>
      <alignment wrapText="1" readingOrder="0"/>
    </dxf>
    <dxf>
      <border>
        <top style="thin">
          <color rgb="FF0081C6"/>
        </top>
        <bottom style="thin">
          <color rgb="FF0081C6"/>
        </bottom>
      </border>
    </dxf>
    <dxf>
      <fill>
        <patternFill patternType="solid">
          <bgColor rgb="FFBFE0F1"/>
        </patternFill>
      </fill>
    </dxf>
    <dxf>
      <numFmt numFmtId="169" formatCode="[$-409]mmm\-yy;@"/>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169" formatCode="[$-409]mmm\-yy;@"/>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9" formatCode="[$-409]mmm\-yy;@"/>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border diagonalUp="0" diagonalDown="0">
        <left/>
        <right/>
        <top/>
        <bottom/>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val="0"/>
        <i val="0"/>
        <sz val="10"/>
        <name val="Arial"/>
        <scheme val="none"/>
      </font>
    </dxf>
    <dxf>
      <font>
        <b val="0"/>
        <i val="0"/>
        <sz val="10"/>
        <name val="Arial"/>
        <scheme val="none"/>
      </font>
    </dxf>
    <dxf>
      <font>
        <name val="Arial"/>
        <scheme val="none"/>
      </font>
    </dxf>
  </dxfs>
  <tableStyles count="6" defaultTableStyle="TableStyleMedium2" defaultPivotStyle="PivotStyleLight16">
    <tableStyle name="Slicer Style 1" pivot="0" table="0" count="1" xr9:uid="{00000000-0011-0000-FFFF-FFFF00000000}">
      <tableStyleElement type="wholeTable" dxfId="101"/>
    </tableStyle>
    <tableStyle name="Slicer Style 2" pivot="0" table="0" count="1" xr9:uid="{00000000-0011-0000-FFFF-FFFF01000000}">
      <tableStyleElement type="wholeTable" dxfId="100"/>
    </tableStyle>
    <tableStyle name="Slicer Style 3" pivot="0" table="0" count="1" xr9:uid="{00000000-0011-0000-FFFF-FFFF02000000}">
      <tableStyleElement type="headerRow" dxfId="99"/>
    </tableStyle>
    <tableStyle name="SlicerStyleDark1 2" pivot="0" table="0" count="10" xr9:uid="{00000000-0011-0000-FFFF-FFFF03000000}">
      <tableStyleElement type="wholeTable" dxfId="98"/>
      <tableStyleElement type="headerRow" dxfId="97"/>
    </tableStyle>
    <tableStyle name="SlicerStyleLight1 2" pivot="0" table="0" count="10" xr9:uid="{00000000-0011-0000-FFFF-FFFF04000000}">
      <tableStyleElement type="wholeTable" dxfId="96"/>
      <tableStyleElement type="headerRow" dxfId="95"/>
    </tableStyle>
    <tableStyle name="SlicerStyleLight1 2 2" pivot="0" table="0" count="10" xr9:uid="{00000000-0011-0000-FFFF-FFFF05000000}">
      <tableStyleElement type="wholeTable" dxfId="94"/>
      <tableStyleElement type="headerRow" dxfId="93"/>
    </tableStyle>
  </tableStyles>
  <colors>
    <mruColors>
      <color rgb="FF0081C6"/>
      <color rgb="FF439539"/>
      <color rgb="FF003767"/>
      <color rgb="FF78278B"/>
      <color rgb="FFBC93C5"/>
      <color rgb="FF72B06B"/>
      <color rgb="FFA1CA9C"/>
      <color rgb="FF40A1D4"/>
      <color rgb="FF80C0E3"/>
      <color rgb="FF40698D"/>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2 2">
        <x14:slicerStyle name="Slicer Style 1"/>
        <x14:slicerStyle name="Slicer Style 2"/>
        <x14:slicerStyle name="Slicer Style 3"/>
        <x14:slicerStyle name="SlicerStyleDark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1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connections" Target="connection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814129483814523"/>
          <c:y val="2.8252405949256341E-2"/>
          <c:w val="0.82130314960629935"/>
          <c:h val="0.77583291653491326"/>
        </c:manualLayout>
      </c:layout>
      <c:lineChart>
        <c:grouping val="standard"/>
        <c:varyColors val="0"/>
        <c:ser>
          <c:idx val="0"/>
          <c:order val="0"/>
          <c:tx>
            <c:v>Collected counts</c:v>
          </c:tx>
          <c:spPr>
            <a:ln w="22225">
              <a:solidFill>
                <a:srgbClr val="003767"/>
              </a:solidFill>
            </a:ln>
          </c:spPr>
          <c:marker>
            <c:symbol val="triangle"/>
            <c:size val="5"/>
            <c:spPr>
              <a:solidFill>
                <a:srgbClr val="003767"/>
              </a:solidFill>
              <a:ln>
                <a:solidFill>
                  <a:srgbClr val="003767"/>
                </a:solidFill>
              </a:ln>
            </c:spPr>
          </c:marker>
          <c:cat>
            <c:numLit>
              <c:formatCode>General</c:formatCode>
              <c:ptCount val="5"/>
              <c:pt idx="0">
                <c:v>1</c:v>
              </c:pt>
              <c:pt idx="1">
                <c:v>2</c:v>
              </c:pt>
              <c:pt idx="2">
                <c:v>3</c:v>
              </c:pt>
              <c:pt idx="3">
                <c:v>4</c:v>
              </c:pt>
              <c:pt idx="4">
                <c:v>5</c:v>
              </c:pt>
            </c:numLit>
          </c:cat>
          <c:val>
            <c:numLit>
              <c:formatCode>General</c:formatCode>
              <c:ptCount val="5"/>
              <c:pt idx="0">
                <c:v>27567</c:v>
              </c:pt>
              <c:pt idx="1">
                <c:v>36084</c:v>
              </c:pt>
              <c:pt idx="2">
                <c:v>37140</c:v>
              </c:pt>
              <c:pt idx="3">
                <c:v>37384</c:v>
              </c:pt>
              <c:pt idx="4">
                <c:v>37471</c:v>
              </c:pt>
            </c:numLit>
          </c:val>
          <c:smooth val="0"/>
          <c:extLst>
            <c:ext xmlns:c16="http://schemas.microsoft.com/office/drawing/2014/chart" uri="{C3380CC4-5D6E-409C-BE32-E72D297353CC}">
              <c16:uniqueId val="{00000000-E354-4EE5-8D4F-0608AF3A951C}"/>
            </c:ext>
          </c:extLst>
        </c:ser>
        <c:ser>
          <c:idx val="1"/>
          <c:order val="1"/>
          <c:tx>
            <c:v>Estimates</c:v>
          </c:tx>
          <c:spPr>
            <a:ln w="22225">
              <a:solidFill>
                <a:srgbClr val="439539"/>
              </a:solidFill>
            </a:ln>
          </c:spPr>
          <c:marker>
            <c:symbol val="square"/>
            <c:size val="4"/>
            <c:spPr>
              <a:solidFill>
                <a:srgbClr val="439539"/>
              </a:solidFill>
              <a:ln>
                <a:solidFill>
                  <a:srgbClr val="439539"/>
                </a:solidFill>
              </a:ln>
            </c:spPr>
          </c:marker>
          <c:cat>
            <c:numLit>
              <c:formatCode>General</c:formatCode>
              <c:ptCount val="5"/>
              <c:pt idx="0">
                <c:v>1</c:v>
              </c:pt>
              <c:pt idx="1">
                <c:v>2</c:v>
              </c:pt>
              <c:pt idx="2">
                <c:v>3</c:v>
              </c:pt>
              <c:pt idx="3">
                <c:v>4</c:v>
              </c:pt>
              <c:pt idx="4">
                <c:v>5</c:v>
              </c:pt>
            </c:numLit>
          </c:cat>
          <c:val>
            <c:numLit>
              <c:formatCode>General</c:formatCode>
              <c:ptCount val="5"/>
              <c:pt idx="0">
                <c:v>#N/A</c:v>
              </c:pt>
              <c:pt idx="1">
                <c:v>37927</c:v>
              </c:pt>
              <c:pt idx="2">
                <c:v>37479</c:v>
              </c:pt>
              <c:pt idx="3">
                <c:v>37493</c:v>
              </c:pt>
              <c:pt idx="4">
                <c:v>37471</c:v>
              </c:pt>
            </c:numLit>
          </c:val>
          <c:smooth val="0"/>
          <c:extLst>
            <c:ext xmlns:c16="http://schemas.microsoft.com/office/drawing/2014/chart" uri="{C3380CC4-5D6E-409C-BE32-E72D297353CC}">
              <c16:uniqueId val="{00000001-E354-4EE5-8D4F-0608AF3A951C}"/>
            </c:ext>
          </c:extLst>
        </c:ser>
        <c:dLbls>
          <c:showLegendKey val="0"/>
          <c:showVal val="0"/>
          <c:showCatName val="0"/>
          <c:showSerName val="0"/>
          <c:showPercent val="0"/>
          <c:showBubbleSize val="0"/>
        </c:dLbls>
        <c:marker val="1"/>
        <c:smooth val="0"/>
        <c:axId val="339510400"/>
        <c:axId val="339512704"/>
      </c:lineChart>
      <c:catAx>
        <c:axId val="339510400"/>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 quarters</a:t>
                </a:r>
              </a:p>
            </c:rich>
          </c:tx>
          <c:layout>
            <c:manualLayout>
              <c:xMode val="edge"/>
              <c:yMode val="edge"/>
              <c:x val="0.39390398075240596"/>
              <c:y val="0.86440762613006705"/>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2704"/>
        <c:crosses val="autoZero"/>
        <c:auto val="1"/>
        <c:lblAlgn val="ctr"/>
        <c:lblOffset val="100"/>
        <c:noMultiLvlLbl val="0"/>
      </c:catAx>
      <c:valAx>
        <c:axId val="339512704"/>
        <c:scaling>
          <c:orientation val="minMax"/>
          <c:max val="40000"/>
          <c:min val="26000"/>
        </c:scaling>
        <c:delete val="0"/>
        <c:axPos val="l"/>
        <c:majorGridlines>
          <c:spPr>
            <a:ln>
              <a:solidFill>
                <a:schemeClr val="bg1">
                  <a:lumMod val="85000"/>
                </a:schemeClr>
              </a:solidFill>
            </a:ln>
          </c:spPr>
        </c:majorGridlines>
        <c:title>
          <c:tx>
            <c:rich>
              <a:bodyPr rot="-540000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Contract commencements</a:t>
                </a:r>
              </a:p>
            </c:rich>
          </c:tx>
          <c:overlay val="0"/>
        </c:title>
        <c:numFmt formatCode="0\ 0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0400"/>
        <c:crosses val="autoZero"/>
        <c:crossBetween val="between"/>
      </c:valAx>
    </c:plotArea>
    <c:legend>
      <c:legendPos val="b"/>
      <c:layout>
        <c:manualLayout>
          <c:xMode val="edge"/>
          <c:yMode val="edge"/>
          <c:x val="0.24171587926509186"/>
          <c:y val="0.91628280839895015"/>
          <c:w val="0.51455668250236986"/>
          <c:h val="7.2210638216713557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Arial" panose="020B0604020202020204" pitchFamily="34" charset="0"/>
                <a:cs typeface="Arial" panose="020B0604020202020204" pitchFamily="34" charset="0"/>
              </a:defRPr>
            </a:pPr>
            <a:r>
              <a:rPr lang="en-US" sz="1400" b="1">
                <a:latin typeface="Arial" panose="020B0604020202020204" pitchFamily="34" charset="0"/>
                <a:cs typeface="Arial" panose="020B0604020202020204" pitchFamily="34" charset="0"/>
              </a:rPr>
              <a:t>Initial and</a:t>
            </a:r>
            <a:r>
              <a:rPr lang="en-US" sz="1400" b="1" baseline="0">
                <a:latin typeface="Arial" panose="020B0604020202020204" pitchFamily="34" charset="0"/>
                <a:cs typeface="Arial" panose="020B0604020202020204" pitchFamily="34" charset="0"/>
              </a:rPr>
              <a:t> </a:t>
            </a:r>
            <a:r>
              <a:rPr lang="en-US" sz="1400" b="1">
                <a:latin typeface="Arial" panose="020B0604020202020204" pitchFamily="34" charset="0"/>
                <a:cs typeface="Arial" panose="020B0604020202020204" pitchFamily="34" charset="0"/>
              </a:rPr>
              <a:t>first revision published estimates and final count</a:t>
            </a:r>
          </a:p>
        </c:rich>
      </c:tx>
      <c:layout>
        <c:manualLayout>
          <c:xMode val="edge"/>
          <c:yMode val="edge"/>
          <c:x val="0.14867380911342337"/>
          <c:y val="1.8552227921221156E-2"/>
        </c:manualLayout>
      </c:layout>
      <c:overlay val="0"/>
    </c:title>
    <c:autoTitleDeleted val="0"/>
    <c:plotArea>
      <c:layout>
        <c:manualLayout>
          <c:layoutTarget val="inner"/>
          <c:xMode val="edge"/>
          <c:yMode val="edge"/>
          <c:x val="8.1482094399217053E-2"/>
          <c:y val="0.14257024450891007"/>
          <c:w val="0.7710138615547949"/>
          <c:h val="0.695125569830087"/>
        </c:manualLayout>
      </c:layout>
      <c:barChart>
        <c:barDir val="col"/>
        <c:grouping val="clustered"/>
        <c:varyColors val="0"/>
        <c:ser>
          <c:idx val="2"/>
          <c:order val="0"/>
          <c:tx>
            <c:strRef>
              <c:f>'Pivot tables'!$Q$23</c:f>
              <c:strCache>
                <c:ptCount val="1"/>
                <c:pt idx="0">
                  <c:v>Initial NCVER published estimate</c:v>
                </c:pt>
              </c:strCache>
            </c:strRef>
          </c:tx>
          <c:spPr>
            <a:solidFill>
              <a:srgbClr val="72B06B"/>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45261</c:v>
                </c:pt>
                <c:pt idx="1">
                  <c:v>45352</c:v>
                </c:pt>
                <c:pt idx="2">
                  <c:v>45444</c:v>
                </c:pt>
                <c:pt idx="3">
                  <c:v>45536</c:v>
                </c:pt>
              </c:numCache>
            </c:numRef>
          </c:cat>
          <c:val>
            <c:numRef>
              <c:f>'Pivot tables'!$R$24:$R$27</c:f>
              <c:numCache>
                <c:formatCode>General</c:formatCode>
                <c:ptCount val="4"/>
                <c:pt idx="0">
                  <c:v>35241</c:v>
                </c:pt>
                <c:pt idx="1">
                  <c:v>59685</c:v>
                </c:pt>
                <c:pt idx="2">
                  <c:v>42688</c:v>
                </c:pt>
                <c:pt idx="3">
                  <c:v>28107</c:v>
                </c:pt>
              </c:numCache>
            </c:numRef>
          </c:val>
          <c:extLst>
            <c:ext xmlns:c16="http://schemas.microsoft.com/office/drawing/2014/chart" uri="{C3380CC4-5D6E-409C-BE32-E72D297353CC}">
              <c16:uniqueId val="{00000001-945F-4A80-8FC0-BFA9092C261A}"/>
            </c:ext>
          </c:extLst>
        </c:ser>
        <c:ser>
          <c:idx val="1"/>
          <c:order val="1"/>
          <c:tx>
            <c:strRef>
              <c:f>'Pivot tables'!$R$23</c:f>
              <c:strCache>
                <c:ptCount val="1"/>
                <c:pt idx="0">
                  <c:v>First revision NCVER published estimate</c:v>
                </c:pt>
              </c:strCache>
            </c:strRef>
          </c:tx>
          <c:spPr>
            <a:solidFill>
              <a:srgbClr val="A1CA9C"/>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45261</c:v>
                </c:pt>
                <c:pt idx="1">
                  <c:v>45352</c:v>
                </c:pt>
                <c:pt idx="2">
                  <c:v>45444</c:v>
                </c:pt>
                <c:pt idx="3">
                  <c:v>45536</c:v>
                </c:pt>
              </c:numCache>
            </c:numRef>
          </c:cat>
          <c:val>
            <c:numRef>
              <c:f>'Pivot tables'!$Q$24:$Q$27</c:f>
              <c:numCache>
                <c:formatCode>General</c:formatCode>
                <c:ptCount val="4"/>
                <c:pt idx="0">
                  <c:v>33690</c:v>
                </c:pt>
                <c:pt idx="1">
                  <c:v>56715</c:v>
                </c:pt>
                <c:pt idx="2">
                  <c:v>41410</c:v>
                </c:pt>
                <c:pt idx="3">
                  <c:v>26984</c:v>
                </c:pt>
              </c:numCache>
            </c:numRef>
          </c:val>
          <c:extLst>
            <c:ext xmlns:c16="http://schemas.microsoft.com/office/drawing/2014/chart" uri="{C3380CC4-5D6E-409C-BE32-E72D297353CC}">
              <c16:uniqueId val="{00000000-945F-4A80-8FC0-BFA9092C261A}"/>
            </c:ext>
          </c:extLst>
        </c:ser>
        <c:ser>
          <c:idx val="3"/>
          <c:order val="2"/>
          <c:tx>
            <c:strRef>
              <c:f>'Pivot tables'!$S$23</c:f>
              <c:strCache>
                <c:ptCount val="1"/>
                <c:pt idx="0">
                  <c:v>Final count</c:v>
                </c:pt>
              </c:strCache>
            </c:strRef>
          </c:tx>
          <c:spPr>
            <a:solidFill>
              <a:srgbClr val="439539"/>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45261</c:v>
                </c:pt>
                <c:pt idx="1">
                  <c:v>45352</c:v>
                </c:pt>
                <c:pt idx="2">
                  <c:v>45444</c:v>
                </c:pt>
                <c:pt idx="3">
                  <c:v>45536</c:v>
                </c:pt>
              </c:numCache>
            </c:numRef>
          </c:cat>
          <c:val>
            <c:numRef>
              <c:f>'Pivot tables'!$S$24:$S$27</c:f>
              <c:numCache>
                <c:formatCode>General</c:formatCode>
                <c:ptCount val="4"/>
                <c:pt idx="0">
                  <c:v>33193</c:v>
                </c:pt>
                <c:pt idx="1">
                  <c:v>55845</c:v>
                </c:pt>
                <c:pt idx="2">
                  <c:v>40868</c:v>
                </c:pt>
                <c:pt idx="3">
                  <c:v>26748</c:v>
                </c:pt>
              </c:numCache>
            </c:numRef>
          </c:val>
          <c:extLst>
            <c:ext xmlns:c16="http://schemas.microsoft.com/office/drawing/2014/chart" uri="{C3380CC4-5D6E-409C-BE32-E72D297353CC}">
              <c16:uniqueId val="{00000002-945F-4A80-8FC0-BFA9092C261A}"/>
            </c:ext>
          </c:extLst>
        </c:ser>
        <c:dLbls>
          <c:showLegendKey val="0"/>
          <c:showVal val="0"/>
          <c:showCatName val="0"/>
          <c:showSerName val="0"/>
          <c:showPercent val="0"/>
          <c:showBubbleSize val="0"/>
        </c:dLbls>
        <c:gapWidth val="150"/>
        <c:overlap val="-10"/>
        <c:axId val="342416000"/>
        <c:axId val="342295296"/>
      </c:barChart>
      <c:catAx>
        <c:axId val="342416000"/>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a:t>
                </a:r>
                <a:r>
                  <a:rPr lang="en-US" sz="1000" baseline="0">
                    <a:latin typeface="Arial" panose="020B0604020202020204" pitchFamily="34" charset="0"/>
                    <a:cs typeface="Arial" panose="020B0604020202020204" pitchFamily="34" charset="0"/>
                  </a:rPr>
                  <a:t> quarter</a:t>
                </a:r>
                <a:endParaRPr lang="en-US" sz="1000">
                  <a:latin typeface="Arial" panose="020B0604020202020204" pitchFamily="34" charset="0"/>
                  <a:cs typeface="Arial" panose="020B0604020202020204" pitchFamily="34" charset="0"/>
                </a:endParaRPr>
              </a:p>
            </c:rich>
          </c:tx>
          <c:layout>
            <c:manualLayout>
              <c:xMode val="edge"/>
              <c:yMode val="edge"/>
              <c:x val="0.37713060549286298"/>
              <c:y val="0.9354452225128177"/>
            </c:manualLayout>
          </c:layout>
          <c:overlay val="0"/>
        </c:title>
        <c:numFmt formatCode="[$-409]mmm\-yy;@" sourceLinked="1"/>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295296"/>
        <c:crosses val="autoZero"/>
        <c:auto val="0"/>
        <c:lblAlgn val="ctr"/>
        <c:lblOffset val="100"/>
        <c:noMultiLvlLbl val="0"/>
      </c:catAx>
      <c:valAx>
        <c:axId val="34229529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416000"/>
        <c:crosses val="autoZero"/>
        <c:crossBetween val="between"/>
      </c:valAx>
    </c:plotArea>
    <c:legend>
      <c:legendPos val="r"/>
      <c:layout>
        <c:manualLayout>
          <c:xMode val="edge"/>
          <c:yMode val="edge"/>
          <c:x val="0.85307143163655386"/>
          <c:y val="0.25185452459352575"/>
          <c:w val="0.14499498297681579"/>
          <c:h val="0.70948070051336998"/>
        </c:manualLayout>
      </c:layout>
      <c:overlay val="1"/>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0081C6"/>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AU" sz="1400">
                <a:latin typeface="Arial" panose="020B0604020202020204" pitchFamily="34" charset="0"/>
                <a:cs typeface="Arial" panose="020B0604020202020204" pitchFamily="34" charset="0"/>
              </a:rPr>
              <a:t>Collected</a:t>
            </a:r>
            <a:r>
              <a:rPr lang="en-AU" sz="1400" baseline="0">
                <a:latin typeface="Arial" panose="020B0604020202020204" pitchFamily="34" charset="0"/>
                <a:cs typeface="Arial" panose="020B0604020202020204" pitchFamily="34" charset="0"/>
              </a:rPr>
              <a:t> count from STAs, NCVER published estimate and final count</a:t>
            </a:r>
            <a:endParaRPr lang="en-AU"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8.244649725405806E-2"/>
          <c:y val="0.15536721549739937"/>
          <c:w val="0.73936741967161046"/>
          <c:h val="0.7258583854762507"/>
        </c:manualLayout>
      </c:layout>
      <c:barChart>
        <c:barDir val="col"/>
        <c:grouping val="clustered"/>
        <c:varyColors val="0"/>
        <c:ser>
          <c:idx val="0"/>
          <c:order val="0"/>
          <c:tx>
            <c:strRef>
              <c:f>'Pivot tables'!$G$23</c:f>
              <c:strCache>
                <c:ptCount val="1"/>
                <c:pt idx="0">
                  <c:v>Collected count from STAs</c:v>
                </c:pt>
              </c:strCache>
            </c:strRef>
          </c:tx>
          <c:spPr>
            <a:solidFill>
              <a:srgbClr val="80C0E3"/>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45261</c:v>
                </c:pt>
                <c:pt idx="1">
                  <c:v>45352</c:v>
                </c:pt>
                <c:pt idx="2">
                  <c:v>45444</c:v>
                </c:pt>
                <c:pt idx="3">
                  <c:v>45536</c:v>
                </c:pt>
              </c:numCache>
            </c:numRef>
          </c:cat>
          <c:val>
            <c:numRef>
              <c:f>'Pivot tables'!$G$24:$G$27</c:f>
              <c:numCache>
                <c:formatCode>0</c:formatCode>
                <c:ptCount val="4"/>
                <c:pt idx="0">
                  <c:v>31989</c:v>
                </c:pt>
                <c:pt idx="1">
                  <c:v>54047</c:v>
                </c:pt>
                <c:pt idx="2">
                  <c:v>38988</c:v>
                </c:pt>
                <c:pt idx="3">
                  <c:v>25656</c:v>
                </c:pt>
              </c:numCache>
            </c:numRef>
          </c:val>
          <c:extLst>
            <c:ext xmlns:c16="http://schemas.microsoft.com/office/drawing/2014/chart" uri="{C3380CC4-5D6E-409C-BE32-E72D297353CC}">
              <c16:uniqueId val="{00000000-5786-475D-A3DC-118C63DF4533}"/>
            </c:ext>
          </c:extLst>
        </c:ser>
        <c:ser>
          <c:idx val="1"/>
          <c:order val="1"/>
          <c:tx>
            <c:strRef>
              <c:f>'Pivot tables'!$H$23</c:f>
              <c:strCache>
                <c:ptCount val="1"/>
                <c:pt idx="0">
                  <c:v>NCVER published estimate </c:v>
                </c:pt>
              </c:strCache>
            </c:strRef>
          </c:tx>
          <c:spPr>
            <a:solidFill>
              <a:srgbClr val="40A1D4"/>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45261</c:v>
                </c:pt>
                <c:pt idx="1">
                  <c:v>45352</c:v>
                </c:pt>
                <c:pt idx="2">
                  <c:v>45444</c:v>
                </c:pt>
                <c:pt idx="3">
                  <c:v>45536</c:v>
                </c:pt>
              </c:numCache>
            </c:numRef>
          </c:cat>
          <c:val>
            <c:numRef>
              <c:f>'Pivot tables'!$H$24:$H$27</c:f>
              <c:numCache>
                <c:formatCode>0</c:formatCode>
                <c:ptCount val="4"/>
                <c:pt idx="0">
                  <c:v>35241</c:v>
                </c:pt>
                <c:pt idx="1">
                  <c:v>59685</c:v>
                </c:pt>
                <c:pt idx="2">
                  <c:v>42688</c:v>
                </c:pt>
                <c:pt idx="3">
                  <c:v>28107</c:v>
                </c:pt>
              </c:numCache>
            </c:numRef>
          </c:val>
          <c:extLst>
            <c:ext xmlns:c16="http://schemas.microsoft.com/office/drawing/2014/chart" uri="{C3380CC4-5D6E-409C-BE32-E72D297353CC}">
              <c16:uniqueId val="{00000001-5786-475D-A3DC-118C63DF4533}"/>
            </c:ext>
          </c:extLst>
        </c:ser>
        <c:ser>
          <c:idx val="2"/>
          <c:order val="2"/>
          <c:tx>
            <c:strRef>
              <c:f>'Pivot tables'!$I$23</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45261</c:v>
                </c:pt>
                <c:pt idx="1">
                  <c:v>45352</c:v>
                </c:pt>
                <c:pt idx="2">
                  <c:v>45444</c:v>
                </c:pt>
                <c:pt idx="3">
                  <c:v>45536</c:v>
                </c:pt>
              </c:numCache>
            </c:numRef>
          </c:cat>
          <c:val>
            <c:numRef>
              <c:f>'Pivot tables'!$I$24:$I$27</c:f>
              <c:numCache>
                <c:formatCode>0</c:formatCode>
                <c:ptCount val="4"/>
                <c:pt idx="0">
                  <c:v>33193</c:v>
                </c:pt>
                <c:pt idx="1">
                  <c:v>55845</c:v>
                </c:pt>
                <c:pt idx="2">
                  <c:v>40868</c:v>
                </c:pt>
                <c:pt idx="3">
                  <c:v>26748</c:v>
                </c:pt>
              </c:numCache>
            </c:numRef>
          </c:val>
          <c:extLst>
            <c:ext xmlns:c16="http://schemas.microsoft.com/office/drawing/2014/chart" uri="{C3380CC4-5D6E-409C-BE32-E72D297353CC}">
              <c16:uniqueId val="{00000002-5786-475D-A3DC-118C63DF4533}"/>
            </c:ext>
          </c:extLst>
        </c:ser>
        <c:dLbls>
          <c:showLegendKey val="0"/>
          <c:showVal val="0"/>
          <c:showCatName val="0"/>
          <c:showSerName val="0"/>
          <c:showPercent val="0"/>
          <c:showBubbleSize val="0"/>
        </c:dLbls>
        <c:gapWidth val="150"/>
        <c:overlap val="-10"/>
        <c:axId val="343031168"/>
        <c:axId val="343037440"/>
      </c:barChart>
      <c:catAx>
        <c:axId val="343031168"/>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AU">
                    <a:latin typeface="Arial" panose="020B0604020202020204" pitchFamily="34" charset="0"/>
                    <a:cs typeface="Arial" panose="020B0604020202020204" pitchFamily="34" charset="0"/>
                  </a:rPr>
                  <a:t>Review quarter</a:t>
                </a:r>
              </a:p>
            </c:rich>
          </c:tx>
          <c:layout>
            <c:manualLayout>
              <c:xMode val="edge"/>
              <c:yMode val="edge"/>
              <c:x val="0.36283138745587834"/>
              <c:y val="0.94053637741382512"/>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7440"/>
        <c:crosses val="autoZero"/>
        <c:auto val="0"/>
        <c:lblAlgn val="ctr"/>
        <c:lblOffset val="100"/>
        <c:noMultiLvlLbl val="0"/>
      </c:catAx>
      <c:valAx>
        <c:axId val="34303744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1168"/>
        <c:crosses val="autoZero"/>
        <c:crossBetween val="between"/>
      </c:valAx>
    </c:plotArea>
    <c:legend>
      <c:legendPos val="r"/>
      <c:layout>
        <c:manualLayout>
          <c:xMode val="edge"/>
          <c:yMode val="edge"/>
          <c:x val="0.83105819531179292"/>
          <c:y val="0.26869526028512902"/>
          <c:w val="0.15760637261627355"/>
          <c:h val="0.4988925382949557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Final count and 95% prediction</a:t>
            </a:r>
            <a:r>
              <a:rPr lang="en-US" sz="1400" baseline="0">
                <a:latin typeface="Arial" panose="020B0604020202020204" pitchFamily="34" charset="0"/>
                <a:cs typeface="Arial" panose="020B0604020202020204" pitchFamily="34" charset="0"/>
              </a:rPr>
              <a:t> interval for </a:t>
            </a:r>
            <a:r>
              <a:rPr lang="en-US" sz="1400" u="sng" baseline="0">
                <a:latin typeface="Arial" panose="020B0604020202020204" pitchFamily="34" charset="0"/>
                <a:cs typeface="Arial" panose="020B0604020202020204" pitchFamily="34" charset="0"/>
              </a:rPr>
              <a:t>selected</a:t>
            </a:r>
            <a:r>
              <a:rPr lang="en-US" sz="1400" baseline="0">
                <a:latin typeface="Arial" panose="020B0604020202020204" pitchFamily="34" charset="0"/>
                <a:cs typeface="Arial" panose="020B0604020202020204" pitchFamily="34" charset="0"/>
              </a:rPr>
              <a:t> estimate</a:t>
            </a:r>
            <a:endParaRPr lang="en-US"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0.15202501069411878"/>
          <c:y val="0.20720488723084579"/>
          <c:w val="0.65745842292062795"/>
          <c:h val="0.75755987531215474"/>
        </c:manualLayout>
      </c:layout>
      <c:barChart>
        <c:barDir val="bar"/>
        <c:grouping val="clustered"/>
        <c:varyColors val="0"/>
        <c:ser>
          <c:idx val="0"/>
          <c:order val="0"/>
          <c:tx>
            <c:strRef>
              <c:f>'Pivot tables'!$B$23</c:f>
              <c:strCache>
                <c:ptCount val="1"/>
                <c:pt idx="0">
                  <c:v>Lower boundary of prediction interval</c:v>
                </c:pt>
              </c:strCache>
            </c:strRef>
          </c:tx>
          <c:spPr>
            <a:solidFill>
              <a:srgbClr val="809BB3"/>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45261</c:v>
                </c:pt>
                <c:pt idx="1">
                  <c:v>45352</c:v>
                </c:pt>
                <c:pt idx="2">
                  <c:v>45444</c:v>
                </c:pt>
                <c:pt idx="3">
                  <c:v>45536</c:v>
                </c:pt>
              </c:numCache>
            </c:numRef>
          </c:cat>
          <c:val>
            <c:numRef>
              <c:f>'Pivot tables'!$B$24:$B$27</c:f>
              <c:numCache>
                <c:formatCode>0</c:formatCode>
                <c:ptCount val="4"/>
                <c:pt idx="0">
                  <c:v>31578</c:v>
                </c:pt>
                <c:pt idx="1">
                  <c:v>53106</c:v>
                </c:pt>
                <c:pt idx="2">
                  <c:v>38528</c:v>
                </c:pt>
                <c:pt idx="3">
                  <c:v>25220</c:v>
                </c:pt>
              </c:numCache>
            </c:numRef>
          </c:val>
          <c:extLst>
            <c:ext xmlns:c16="http://schemas.microsoft.com/office/drawing/2014/chart" uri="{C3380CC4-5D6E-409C-BE32-E72D297353CC}">
              <c16:uniqueId val="{00000000-348C-4311-BEDC-14415E645347}"/>
            </c:ext>
          </c:extLst>
        </c:ser>
        <c:ser>
          <c:idx val="1"/>
          <c:order val="1"/>
          <c:tx>
            <c:strRef>
              <c:f>'Pivot tables'!$C$23</c:f>
              <c:strCache>
                <c:ptCount val="1"/>
                <c:pt idx="0">
                  <c:v>Final count</c:v>
                </c:pt>
              </c:strCache>
            </c:strRef>
          </c:tx>
          <c:spPr>
            <a:solidFill>
              <a:srgbClr val="40698D"/>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45261</c:v>
                </c:pt>
                <c:pt idx="1">
                  <c:v>45352</c:v>
                </c:pt>
                <c:pt idx="2">
                  <c:v>45444</c:v>
                </c:pt>
                <c:pt idx="3">
                  <c:v>45536</c:v>
                </c:pt>
              </c:numCache>
            </c:numRef>
          </c:cat>
          <c:val>
            <c:numRef>
              <c:f>'Pivot tables'!$C$24:$C$27</c:f>
              <c:numCache>
                <c:formatCode>0</c:formatCode>
                <c:ptCount val="4"/>
                <c:pt idx="0">
                  <c:v>33193</c:v>
                </c:pt>
                <c:pt idx="1">
                  <c:v>55845</c:v>
                </c:pt>
                <c:pt idx="2">
                  <c:v>40868</c:v>
                </c:pt>
                <c:pt idx="3">
                  <c:v>26748</c:v>
                </c:pt>
              </c:numCache>
            </c:numRef>
          </c:val>
          <c:extLst>
            <c:ext xmlns:c16="http://schemas.microsoft.com/office/drawing/2014/chart" uri="{C3380CC4-5D6E-409C-BE32-E72D297353CC}">
              <c16:uniqueId val="{00000001-348C-4311-BEDC-14415E645347}"/>
            </c:ext>
          </c:extLst>
        </c:ser>
        <c:ser>
          <c:idx val="2"/>
          <c:order val="2"/>
          <c:tx>
            <c:strRef>
              <c:f>'Pivot tables'!$D$23</c:f>
              <c:strCache>
                <c:ptCount val="1"/>
                <c:pt idx="0">
                  <c:v>Upper boundary of prediction interval</c:v>
                </c:pt>
              </c:strCache>
            </c:strRef>
          </c:tx>
          <c:spPr>
            <a:solidFill>
              <a:srgbClr val="003767"/>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45261</c:v>
                </c:pt>
                <c:pt idx="1">
                  <c:v>45352</c:v>
                </c:pt>
                <c:pt idx="2">
                  <c:v>45444</c:v>
                </c:pt>
                <c:pt idx="3">
                  <c:v>45536</c:v>
                </c:pt>
              </c:numCache>
            </c:numRef>
          </c:cat>
          <c:val>
            <c:numRef>
              <c:f>'Pivot tables'!$D$24:$D$27</c:f>
              <c:numCache>
                <c:formatCode>0</c:formatCode>
                <c:ptCount val="4"/>
                <c:pt idx="0">
                  <c:v>38904</c:v>
                </c:pt>
                <c:pt idx="1">
                  <c:v>66264</c:v>
                </c:pt>
                <c:pt idx="2">
                  <c:v>46848</c:v>
                </c:pt>
                <c:pt idx="3">
                  <c:v>30994</c:v>
                </c:pt>
              </c:numCache>
            </c:numRef>
          </c:val>
          <c:extLst>
            <c:ext xmlns:c16="http://schemas.microsoft.com/office/drawing/2014/chart" uri="{C3380CC4-5D6E-409C-BE32-E72D297353CC}">
              <c16:uniqueId val="{00000002-348C-4311-BEDC-14415E645347}"/>
            </c:ext>
          </c:extLst>
        </c:ser>
        <c:dLbls>
          <c:showLegendKey val="0"/>
          <c:showVal val="0"/>
          <c:showCatName val="0"/>
          <c:showSerName val="0"/>
          <c:showPercent val="0"/>
          <c:showBubbleSize val="0"/>
        </c:dLbls>
        <c:gapWidth val="150"/>
        <c:overlap val="-10"/>
        <c:axId val="343355776"/>
        <c:axId val="343357696"/>
      </c:barChart>
      <c:catAx>
        <c:axId val="343355776"/>
        <c:scaling>
          <c:orientation val="maxMin"/>
        </c:scaling>
        <c:delete val="0"/>
        <c:axPos val="l"/>
        <c:title>
          <c:tx>
            <c:rich>
              <a:bodyPr rot="-540000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1.1544012593336069E-2"/>
              <c:y val="0.45618749737087527"/>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7696"/>
        <c:crosses val="autoZero"/>
        <c:auto val="0"/>
        <c:lblAlgn val="ctr"/>
        <c:lblOffset val="100"/>
        <c:noMultiLvlLbl val="0"/>
      </c:catAx>
      <c:valAx>
        <c:axId val="343357696"/>
        <c:scaling>
          <c:orientation val="minMax"/>
        </c:scaling>
        <c:delete val="0"/>
        <c:axPos val="t"/>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5776"/>
        <c:crosses val="autoZero"/>
        <c:crossBetween val="between"/>
      </c:valAx>
    </c:plotArea>
    <c:legend>
      <c:legendPos val="r"/>
      <c:layout>
        <c:manualLayout>
          <c:xMode val="edge"/>
          <c:yMode val="edge"/>
          <c:x val="0.82166736627624881"/>
          <c:y val="0.29628387226165626"/>
          <c:w val="0.16217101609308071"/>
          <c:h val="0.52639471548305528"/>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How do the published and model estimates compare with the final count?</a:t>
            </a:r>
          </a:p>
        </c:rich>
      </c:tx>
      <c:overlay val="0"/>
    </c:title>
    <c:autoTitleDeleted val="0"/>
    <c:plotArea>
      <c:layout>
        <c:manualLayout>
          <c:layoutTarget val="inner"/>
          <c:xMode val="edge"/>
          <c:yMode val="edge"/>
          <c:x val="0.11703584864690718"/>
          <c:y val="0.1932189032051789"/>
          <c:w val="0.69311719548314199"/>
          <c:h val="0.66918875663832755"/>
        </c:manualLayout>
      </c:layout>
      <c:lineChart>
        <c:grouping val="standard"/>
        <c:varyColors val="0"/>
        <c:ser>
          <c:idx val="0"/>
          <c:order val="0"/>
          <c:tx>
            <c:strRef>
              <c:f>'Pivot tables'!$L$23</c:f>
              <c:strCache>
                <c:ptCount val="1"/>
                <c:pt idx="0">
                  <c:v>Published estimate as % of final count</c:v>
                </c:pt>
              </c:strCache>
            </c:strRef>
          </c:tx>
          <c:spPr>
            <a:ln w="15875">
              <a:solidFill>
                <a:srgbClr val="78278B"/>
              </a:solidFill>
            </a:ln>
          </c:spPr>
          <c:marker>
            <c:symbol val="circle"/>
            <c:size val="5"/>
            <c:spPr>
              <a:solidFill>
                <a:srgbClr val="78278B"/>
              </a:solidFill>
              <a:ln>
                <a:solidFill>
                  <a:srgbClr val="78278B"/>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45261</c:v>
                </c:pt>
                <c:pt idx="1">
                  <c:v>45352</c:v>
                </c:pt>
                <c:pt idx="2">
                  <c:v>45444</c:v>
                </c:pt>
                <c:pt idx="3">
                  <c:v>45536</c:v>
                </c:pt>
              </c:numCache>
            </c:numRef>
          </c:cat>
          <c:val>
            <c:numRef>
              <c:f>'Pivot tables'!$L$24:$L$27</c:f>
              <c:numCache>
                <c:formatCode>0.0%</c:formatCode>
                <c:ptCount val="4"/>
                <c:pt idx="0">
                  <c:v>1.0620000000000001</c:v>
                </c:pt>
                <c:pt idx="1">
                  <c:v>1.069</c:v>
                </c:pt>
                <c:pt idx="2">
                  <c:v>1.0449999999999999</c:v>
                </c:pt>
                <c:pt idx="3">
                  <c:v>1.0509999999999999</c:v>
                </c:pt>
              </c:numCache>
            </c:numRef>
          </c:val>
          <c:smooth val="0"/>
          <c:extLst>
            <c:ext xmlns:c16="http://schemas.microsoft.com/office/drawing/2014/chart" uri="{C3380CC4-5D6E-409C-BE32-E72D297353CC}">
              <c16:uniqueId val="{00000000-34F4-4D63-9702-5F12EC43F890}"/>
            </c:ext>
          </c:extLst>
        </c:ser>
        <c:ser>
          <c:idx val="1"/>
          <c:order val="1"/>
          <c:tx>
            <c:strRef>
              <c:f>'Pivot tables'!$M$23</c:f>
              <c:strCache>
                <c:ptCount val="1"/>
                <c:pt idx="0">
                  <c:v>Model estimate as % of final count  </c:v>
                </c:pt>
              </c:strCache>
            </c:strRef>
          </c:tx>
          <c:spPr>
            <a:ln w="15875">
              <a:solidFill>
                <a:srgbClr val="BC93C5"/>
              </a:solidFill>
            </a:ln>
          </c:spPr>
          <c:marker>
            <c:symbol val="circle"/>
            <c:size val="5"/>
            <c:spPr>
              <a:solidFill>
                <a:srgbClr val="BC93C5"/>
              </a:solidFill>
              <a:ln w="9525">
                <a:solidFill>
                  <a:srgbClr val="BC93C5"/>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45261</c:v>
                </c:pt>
                <c:pt idx="1">
                  <c:v>45352</c:v>
                </c:pt>
                <c:pt idx="2">
                  <c:v>45444</c:v>
                </c:pt>
                <c:pt idx="3">
                  <c:v>45536</c:v>
                </c:pt>
              </c:numCache>
            </c:numRef>
          </c:cat>
          <c:val>
            <c:numRef>
              <c:f>'Pivot tables'!$M$24:$M$27</c:f>
              <c:numCache>
                <c:formatCode>0.0%</c:formatCode>
                <c:ptCount val="4"/>
                <c:pt idx="0">
                  <c:v>1.075</c:v>
                </c:pt>
                <c:pt idx="1">
                  <c:v>1.083</c:v>
                </c:pt>
                <c:pt idx="2">
                  <c:v>1.0569999999999999</c:v>
                </c:pt>
                <c:pt idx="3">
                  <c:v>1.0640000000000001</c:v>
                </c:pt>
              </c:numCache>
            </c:numRef>
          </c:val>
          <c:smooth val="0"/>
          <c:extLst>
            <c:ext xmlns:c16="http://schemas.microsoft.com/office/drawing/2014/chart" uri="{C3380CC4-5D6E-409C-BE32-E72D297353CC}">
              <c16:uniqueId val="{00000001-34F4-4D63-9702-5F12EC43F890}"/>
            </c:ext>
          </c:extLst>
        </c:ser>
        <c:ser>
          <c:idx val="2"/>
          <c:order val="2"/>
          <c:tx>
            <c:strRef>
              <c:f>'Pivot tables'!$N$23</c:f>
              <c:strCache>
                <c:ptCount val="1"/>
                <c:pt idx="0">
                  <c:v>Final count (100%)</c:v>
                </c:pt>
              </c:strCache>
            </c:strRef>
          </c:tx>
          <c:spPr>
            <a:ln w="15875">
              <a:solidFill>
                <a:srgbClr val="439539"/>
              </a:solidFill>
            </a:ln>
          </c:spPr>
          <c:marker>
            <c:symbol val="circle"/>
            <c:size val="5"/>
            <c:spPr>
              <a:solidFill>
                <a:srgbClr val="439539"/>
              </a:solidFill>
              <a:ln>
                <a:solidFill>
                  <a:srgbClr val="439539"/>
                </a:solidFill>
              </a:ln>
            </c:spPr>
          </c:marker>
          <c:cat>
            <c:numRef>
              <c:f>'Pivot tables'!$K$24:$K$27</c:f>
              <c:numCache>
                <c:formatCode>[$-409]mmm\-yy;@</c:formatCode>
                <c:ptCount val="4"/>
                <c:pt idx="0">
                  <c:v>45261</c:v>
                </c:pt>
                <c:pt idx="1">
                  <c:v>45352</c:v>
                </c:pt>
                <c:pt idx="2">
                  <c:v>45444</c:v>
                </c:pt>
                <c:pt idx="3">
                  <c:v>45536</c:v>
                </c:pt>
              </c:numCache>
            </c:numRef>
          </c:cat>
          <c:val>
            <c:numRef>
              <c:f>'Pivot tables'!$N$24:$N$27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2-34F4-4D63-9702-5F12EC43F890}"/>
            </c:ext>
          </c:extLst>
        </c:ser>
        <c:dLbls>
          <c:showLegendKey val="0"/>
          <c:showVal val="0"/>
          <c:showCatName val="0"/>
          <c:showSerName val="0"/>
          <c:showPercent val="0"/>
          <c:showBubbleSize val="0"/>
        </c:dLbls>
        <c:marker val="1"/>
        <c:smooth val="0"/>
        <c:axId val="343089920"/>
        <c:axId val="343091840"/>
      </c:lineChart>
      <c:catAx>
        <c:axId val="343089920"/>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0.38331797758332603"/>
              <c:y val="0.93783230283011165"/>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91840"/>
        <c:crosses val="autoZero"/>
        <c:auto val="0"/>
        <c:lblAlgn val="ctr"/>
        <c:lblOffset val="100"/>
        <c:noMultiLvlLbl val="0"/>
      </c:catAx>
      <c:valAx>
        <c:axId val="343091840"/>
        <c:scaling>
          <c:orientation val="minMax"/>
        </c:scaling>
        <c:delete val="0"/>
        <c:axPos val="l"/>
        <c:majorGridlines>
          <c:spPr>
            <a:ln>
              <a:solidFill>
                <a:schemeClr val="bg1">
                  <a:lumMod val="85000"/>
                </a:schemeClr>
              </a:solidFill>
            </a:ln>
          </c:spPr>
        </c:majorGridlines>
        <c:numFmt formatCode="0.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89920"/>
        <c:crosses val="autoZero"/>
        <c:crossBetween val="between"/>
      </c:valAx>
    </c:plotArea>
    <c:legend>
      <c:legendPos val="r"/>
      <c:layout>
        <c:manualLayout>
          <c:xMode val="edge"/>
          <c:yMode val="edge"/>
          <c:x val="0.81936830816278294"/>
          <c:y val="0.27170143428838339"/>
          <c:w val="0.16680879578811642"/>
          <c:h val="0.5742249584367851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0F83CB"/>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3018372703412"/>
          <c:y val="5.1400554097404488E-2"/>
          <c:w val="0.27216491688538935"/>
          <c:h val="0.8326195683872849"/>
        </c:manualLayout>
      </c:layout>
      <c:barChart>
        <c:barDir val="col"/>
        <c:grouping val="clustered"/>
        <c:varyColors val="0"/>
        <c:ser>
          <c:idx val="0"/>
          <c:order val="0"/>
          <c:tx>
            <c:strRef>
              <c:f>'Data validation'!$M$11</c:f>
              <c:strCache>
                <c:ptCount val="1"/>
                <c:pt idx="0">
                  <c:v>% of final count</c:v>
                </c:pt>
              </c:strCache>
            </c:strRef>
          </c:tx>
          <c:spPr>
            <a:solidFill>
              <a:schemeClr val="bg1">
                <a:lumMod val="95000"/>
              </a:schemeClr>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validation'!$M$12</c:f>
              <c:numCache>
                <c:formatCode>0.0%</c:formatCode>
                <c:ptCount val="1"/>
                <c:pt idx="0">
                  <c:v>1.0620000000000001</c:v>
                </c:pt>
              </c:numCache>
            </c:numRef>
          </c:val>
          <c:extLst>
            <c:ext xmlns:c16="http://schemas.microsoft.com/office/drawing/2014/chart" uri="{C3380CC4-5D6E-409C-BE32-E72D297353CC}">
              <c16:uniqueId val="{00000000-8D9C-4B4E-B161-A1BD3CC7EF04}"/>
            </c:ext>
          </c:extLst>
        </c:ser>
        <c:dLbls>
          <c:showLegendKey val="0"/>
          <c:showVal val="0"/>
          <c:showCatName val="0"/>
          <c:showSerName val="0"/>
          <c:showPercent val="0"/>
          <c:showBubbleSize val="0"/>
        </c:dLbls>
        <c:gapWidth val="150"/>
        <c:axId val="343563648"/>
        <c:axId val="343569536"/>
      </c:barChart>
      <c:barChart>
        <c:barDir val="col"/>
        <c:grouping val="clustered"/>
        <c:varyColors val="0"/>
        <c:ser>
          <c:idx val="1"/>
          <c:order val="1"/>
          <c:tx>
            <c:strRef>
              <c:f>'Data validation'!$N$11</c:f>
              <c:strCache>
                <c:ptCount val="1"/>
                <c:pt idx="0">
                  <c:v>Baseline (100%)</c:v>
                </c:pt>
              </c:strCache>
            </c:strRef>
          </c:tx>
          <c:spPr>
            <a:noFill/>
            <a:ln w="22225">
              <a:solidFill>
                <a:srgbClr val="439539"/>
              </a:solidFill>
            </a:ln>
          </c:spPr>
          <c:invertIfNegative val="0"/>
          <c:val>
            <c:numRef>
              <c:f>'Data validation'!$N$12</c:f>
              <c:numCache>
                <c:formatCode>0%</c:formatCode>
                <c:ptCount val="1"/>
                <c:pt idx="0">
                  <c:v>1.075</c:v>
                </c:pt>
              </c:numCache>
            </c:numRef>
          </c:val>
          <c:extLst>
            <c:ext xmlns:c16="http://schemas.microsoft.com/office/drawing/2014/chart" uri="{C3380CC4-5D6E-409C-BE32-E72D297353CC}">
              <c16:uniqueId val="{00000001-8D9C-4B4E-B161-A1BD3CC7EF04}"/>
            </c:ext>
          </c:extLst>
        </c:ser>
        <c:dLbls>
          <c:showLegendKey val="0"/>
          <c:showVal val="0"/>
          <c:showCatName val="0"/>
          <c:showSerName val="0"/>
          <c:showPercent val="0"/>
          <c:showBubbleSize val="0"/>
        </c:dLbls>
        <c:gapWidth val="150"/>
        <c:axId val="343585152"/>
        <c:axId val="343571072"/>
      </c:barChart>
      <c:catAx>
        <c:axId val="343563648"/>
        <c:scaling>
          <c:orientation val="minMax"/>
        </c:scaling>
        <c:delete val="1"/>
        <c:axPos val="b"/>
        <c:majorTickMark val="out"/>
        <c:minorTickMark val="none"/>
        <c:tickLblPos val="nextTo"/>
        <c:crossAx val="343569536"/>
        <c:crosses val="autoZero"/>
        <c:auto val="1"/>
        <c:lblAlgn val="ctr"/>
        <c:lblOffset val="100"/>
        <c:noMultiLvlLbl val="0"/>
      </c:catAx>
      <c:valAx>
        <c:axId val="343569536"/>
        <c:scaling>
          <c:orientation val="minMax"/>
          <c:min val="0.8"/>
        </c:scaling>
        <c:delete val="0"/>
        <c:axPos val="l"/>
        <c:majorGridlines>
          <c:spPr>
            <a:ln>
              <a:noFill/>
            </a:ln>
          </c:spPr>
        </c:majorGridlines>
        <c:numFmt formatCode="0.0%" sourceLinked="1"/>
        <c:majorTickMark val="in"/>
        <c:minorTickMark val="none"/>
        <c:tickLblPos val="nextTo"/>
        <c:crossAx val="343563648"/>
        <c:crosses val="autoZero"/>
        <c:crossBetween val="between"/>
      </c:valAx>
      <c:valAx>
        <c:axId val="343571072"/>
        <c:scaling>
          <c:orientation val="minMax"/>
        </c:scaling>
        <c:delete val="1"/>
        <c:axPos val="r"/>
        <c:numFmt formatCode="0%" sourceLinked="1"/>
        <c:majorTickMark val="out"/>
        <c:minorTickMark val="none"/>
        <c:tickLblPos val="nextTo"/>
        <c:crossAx val="343585152"/>
        <c:crosses val="max"/>
        <c:crossBetween val="between"/>
      </c:valAx>
      <c:catAx>
        <c:axId val="343585152"/>
        <c:scaling>
          <c:orientation val="minMax"/>
        </c:scaling>
        <c:delete val="1"/>
        <c:axPos val="b"/>
        <c:majorTickMark val="out"/>
        <c:minorTickMark val="none"/>
        <c:tickLblPos val="nextTo"/>
        <c:crossAx val="343571072"/>
        <c:crosses val="autoZero"/>
        <c:auto val="1"/>
        <c:lblAlgn val="ctr"/>
        <c:lblOffset val="100"/>
        <c:noMultiLvlLbl val="0"/>
      </c:catAx>
    </c:plotArea>
    <c:legend>
      <c:legendPos val="r"/>
      <c:layout>
        <c:manualLayout>
          <c:xMode val="edge"/>
          <c:yMode val="edge"/>
          <c:x val="0.4123592594694232"/>
          <c:y val="0.30717790710943743"/>
          <c:w val="0.22302712160979876"/>
          <c:h val="0.3686282162630799"/>
        </c:manualLayout>
      </c:layout>
      <c:overlay val="0"/>
      <c:spPr>
        <a:solidFill>
          <a:schemeClr val="bg1"/>
        </a:solidFill>
      </c:sp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3.emf"/><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image" Target="../media/image2.png"/><Relationship Id="rId6" Type="http://schemas.openxmlformats.org/officeDocument/2006/relationships/chart" Target="../charts/chart3.xml"/><Relationship Id="rId5" Type="http://schemas.openxmlformats.org/officeDocument/2006/relationships/image" Target="../media/image5.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114300</xdr:rowOff>
    </xdr:from>
    <xdr:to>
      <xdr:col>5</xdr:col>
      <xdr:colOff>19050</xdr:colOff>
      <xdr:row>37</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4</xdr:row>
          <xdr:rowOff>19050</xdr:rowOff>
        </xdr:from>
        <xdr:to>
          <xdr:col>22</xdr:col>
          <xdr:colOff>333375</xdr:colOff>
          <xdr:row>6</xdr:row>
          <xdr:rowOff>38100</xdr:rowOff>
        </xdr:to>
        <xdr:sp macro="" textlink="">
          <xdr:nvSpPr>
            <xdr:cNvPr id="58374" name="CommandButton1"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5291</xdr:colOff>
      <xdr:row>1</xdr:row>
      <xdr:rowOff>234345</xdr:rowOff>
    </xdr:from>
    <xdr:to>
      <xdr:col>3</xdr:col>
      <xdr:colOff>130968</xdr:colOff>
      <xdr:row>5</xdr:row>
      <xdr:rowOff>33262</xdr:rowOff>
    </xdr:to>
    <xdr:pic>
      <xdr:nvPicPr>
        <xdr:cNvPr id="2" name="Picture 1" descr="SuperWEB2">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 y="329595"/>
          <a:ext cx="2006865" cy="644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10585</xdr:rowOff>
    </xdr:from>
    <xdr:to>
      <xdr:col>3</xdr:col>
      <xdr:colOff>11906</xdr:colOff>
      <xdr:row>12</xdr:row>
      <xdr:rowOff>35720</xdr:rowOff>
    </xdr:to>
    <mc:AlternateContent xmlns:mc="http://schemas.openxmlformats.org/markup-compatibility/2006" xmlns:a14="http://schemas.microsoft.com/office/drawing/2010/main">
      <mc:Choice Requires="a14">
        <xdr:graphicFrame macro="">
          <xdr:nvGraphicFramePr>
            <xdr:cNvPr id="8" name="Estimate type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Estimate type 1"/>
            </a:graphicData>
          </a:graphic>
        </xdr:graphicFrame>
      </mc:Choice>
      <mc:Fallback xmlns="">
        <xdr:sp macro="" textlink="">
          <xdr:nvSpPr>
            <xdr:cNvPr id="0" name=""/>
            <xdr:cNvSpPr>
              <a:spLocks noTextEdit="1"/>
            </xdr:cNvSpPr>
          </xdr:nvSpPr>
          <xdr:spPr>
            <a:xfrm>
              <a:off x="0" y="814917"/>
              <a:ext cx="2159000" cy="94191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19</xdr:row>
      <xdr:rowOff>105455</xdr:rowOff>
    </xdr:from>
    <xdr:to>
      <xdr:col>3</xdr:col>
      <xdr:colOff>13606</xdr:colOff>
      <xdr:row>34</xdr:row>
      <xdr:rowOff>122464</xdr:rowOff>
    </xdr:to>
    <mc:AlternateContent xmlns:mc="http://schemas.openxmlformats.org/markup-compatibility/2006" xmlns:a14="http://schemas.microsoft.com/office/drawing/2010/main">
      <mc:Choice Requires="a14">
        <xdr:graphicFrame macro="">
          <xdr:nvGraphicFramePr>
            <xdr:cNvPr id="5" name="State 1">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0" y="3664101"/>
              <a:ext cx="1905377" cy="29009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10582</xdr:colOff>
      <xdr:row>28</xdr:row>
      <xdr:rowOff>10583</xdr:rowOff>
    </xdr:from>
    <xdr:to>
      <xdr:col>24</xdr:col>
      <xdr:colOff>0</xdr:colOff>
      <xdr:row>47</xdr:row>
      <xdr:rowOff>179918</xdr:rowOff>
    </xdr:to>
    <xdr:graphicFrame macro="">
      <xdr:nvGraphicFramePr>
        <xdr:cNvPr id="29" name="Chart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12</xdr:row>
      <xdr:rowOff>21166</xdr:rowOff>
    </xdr:from>
    <xdr:to>
      <xdr:col>3</xdr:col>
      <xdr:colOff>10582</xdr:colOff>
      <xdr:row>19</xdr:row>
      <xdr:rowOff>127000</xdr:rowOff>
    </xdr:to>
    <mc:AlternateContent xmlns:mc="http://schemas.openxmlformats.org/markup-compatibility/2006" xmlns:a14="http://schemas.microsoft.com/office/drawing/2010/main">
      <mc:Choice Requires="a14">
        <xdr:graphicFrame macro="">
          <xdr:nvGraphicFramePr>
            <xdr:cNvPr id="25" name="Contract status">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microsoft.com/office/drawing/2010/slicer">
              <sle:slicer xmlns:sle="http://schemas.microsoft.com/office/drawing/2010/slicer" name="Contract status"/>
            </a:graphicData>
          </a:graphic>
        </xdr:graphicFrame>
      </mc:Choice>
      <mc:Fallback xmlns="">
        <xdr:sp macro="" textlink="">
          <xdr:nvSpPr>
            <xdr:cNvPr id="0" name=""/>
            <xdr:cNvSpPr>
              <a:spLocks noTextEdit="1"/>
            </xdr:cNvSpPr>
          </xdr:nvSpPr>
          <xdr:spPr>
            <a:xfrm>
              <a:off x="0" y="2203979"/>
              <a:ext cx="1902353" cy="14816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34</xdr:row>
      <xdr:rowOff>95250</xdr:rowOff>
    </xdr:from>
    <xdr:to>
      <xdr:col>3</xdr:col>
      <xdr:colOff>13606</xdr:colOff>
      <xdr:row>48</xdr:row>
      <xdr:rowOff>5913</xdr:rowOff>
    </xdr:to>
    <mc:AlternateContent xmlns:mc="http://schemas.openxmlformats.org/markup-compatibility/2006" xmlns:a14="http://schemas.microsoft.com/office/drawing/2010/main">
      <mc:Choice Requires="a14">
        <xdr:graphicFrame macro="">
          <xdr:nvGraphicFramePr>
            <xdr:cNvPr id="27" name="review_quarter">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microsoft.com/office/drawing/2010/slicer">
              <sle:slicer xmlns:sle="http://schemas.microsoft.com/office/drawing/2010/slicer" name="review_quarter"/>
            </a:graphicData>
          </a:graphic>
        </xdr:graphicFrame>
      </mc:Choice>
      <mc:Fallback xmlns="">
        <xdr:sp macro="" textlink="">
          <xdr:nvSpPr>
            <xdr:cNvPr id="0" name=""/>
            <xdr:cNvSpPr>
              <a:spLocks noTextEdit="1"/>
            </xdr:cNvSpPr>
          </xdr:nvSpPr>
          <xdr:spPr>
            <a:xfrm>
              <a:off x="0" y="6537854"/>
              <a:ext cx="1905377" cy="2577041"/>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mc:AlternateContent xmlns:mc="http://schemas.openxmlformats.org/markup-compatibility/2006">
    <mc:Choice xmlns:a14="http://schemas.microsoft.com/office/drawing/2010/main" Requires="a14">
      <xdr:twoCellAnchor editAs="oneCell">
        <xdr:from>
          <xdr:col>32</xdr:col>
          <xdr:colOff>1</xdr:colOff>
          <xdr:row>16</xdr:row>
          <xdr:rowOff>0</xdr:rowOff>
        </xdr:from>
        <xdr:to>
          <xdr:col>33</xdr:col>
          <xdr:colOff>21169</xdr:colOff>
          <xdr:row>18</xdr:row>
          <xdr:rowOff>19047</xdr:rowOff>
        </xdr:to>
        <xdr:pic>
          <xdr:nvPicPr>
            <xdr:cNvPr id="28" name="Picture 27"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C000000}"/>
                </a:ext>
              </a:extLst>
            </xdr:cNvPr>
            <xdr:cNvPicPr>
              <a:picLocks noChangeAspect="1" noChangeArrowheads="1"/>
              <a:extLst>
                <a:ext uri="{84589F7E-364E-4C9E-8A38-B11213B215E9}">
                  <a14:cameraTool cellRange="Arrow1" spid="_x0000_s52638"/>
                </a:ext>
              </a:extLst>
            </xdr:cNvPicPr>
          </xdr:nvPicPr>
          <xdr:blipFill>
            <a:blip xmlns:r="http://schemas.openxmlformats.org/officeDocument/2006/relationships" r:embed="rId3"/>
            <a:srcRect/>
            <a:stretch>
              <a:fillRect/>
            </a:stretch>
          </xdr:blipFill>
          <xdr:spPr bwMode="auto">
            <a:xfrm>
              <a:off x="18362084" y="2296583"/>
              <a:ext cx="423334" cy="4423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2811</xdr:rowOff>
        </xdr:from>
        <xdr:to>
          <xdr:col>33</xdr:col>
          <xdr:colOff>21168</xdr:colOff>
          <xdr:row>20</xdr:row>
          <xdr:rowOff>34907</xdr:rowOff>
        </xdr:to>
        <xdr:pic>
          <xdr:nvPicPr>
            <xdr:cNvPr id="30" name="Picture 2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E000000}"/>
                </a:ext>
              </a:extLst>
            </xdr:cNvPr>
            <xdr:cNvPicPr>
              <a:picLocks noChangeAspect="1" noChangeArrowheads="1"/>
              <a:extLst>
                <a:ext uri="{84589F7E-364E-4C9E-8A38-B11213B215E9}">
                  <a14:cameraTool cellRange="Arrow2" spid="_x0000_s52639"/>
                </a:ext>
              </a:extLst>
            </xdr:cNvPicPr>
          </xdr:nvPicPr>
          <xdr:blipFill>
            <a:blip xmlns:r="http://schemas.openxmlformats.org/officeDocument/2006/relationships" r:embed="rId3"/>
            <a:srcRect/>
            <a:stretch>
              <a:fillRect/>
            </a:stretch>
          </xdr:blipFill>
          <xdr:spPr bwMode="auto">
            <a:xfrm>
              <a:off x="18393833" y="2680394"/>
              <a:ext cx="423334" cy="4554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21168</xdr:colOff>
          <xdr:row>22</xdr:row>
          <xdr:rowOff>21165</xdr:rowOff>
        </xdr:to>
        <xdr:pic>
          <xdr:nvPicPr>
            <xdr:cNvPr id="31" name="Picture 3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F000000}"/>
                </a:ext>
              </a:extLst>
            </xdr:cNvPr>
            <xdr:cNvPicPr>
              <a:picLocks noChangeAspect="1" noChangeArrowheads="1"/>
              <a:extLst>
                <a:ext uri="{84589F7E-364E-4C9E-8A38-B11213B215E9}">
                  <a14:cameraTool cellRange="Arrow3" spid="_x0000_s52640"/>
                </a:ext>
              </a:extLst>
            </xdr:cNvPicPr>
          </xdr:nvPicPr>
          <xdr:blipFill>
            <a:blip xmlns:r="http://schemas.openxmlformats.org/officeDocument/2006/relationships" r:embed="rId3"/>
            <a:srcRect/>
            <a:stretch>
              <a:fillRect/>
            </a:stretch>
          </xdr:blipFill>
          <xdr:spPr bwMode="auto">
            <a:xfrm>
              <a:off x="18362083" y="3143250"/>
              <a:ext cx="423334" cy="444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211665</xdr:rowOff>
        </xdr:from>
        <xdr:to>
          <xdr:col>33</xdr:col>
          <xdr:colOff>21167</xdr:colOff>
          <xdr:row>24</xdr:row>
          <xdr:rowOff>5969</xdr:rowOff>
        </xdr:to>
        <xdr:pic>
          <xdr:nvPicPr>
            <xdr:cNvPr id="32" name="Picture 3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Arrow4" spid="_x0000_s52641"/>
                </a:ext>
              </a:extLst>
            </xdr:cNvPicPr>
          </xdr:nvPicPr>
          <xdr:blipFill>
            <a:blip xmlns:r="http://schemas.openxmlformats.org/officeDocument/2006/relationships" r:embed="rId3"/>
            <a:srcRect/>
            <a:stretch>
              <a:fillRect/>
            </a:stretch>
          </xdr:blipFill>
          <xdr:spPr bwMode="auto">
            <a:xfrm>
              <a:off x="18362083" y="3566582"/>
              <a:ext cx="423333" cy="4293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17</xdr:row>
          <xdr:rowOff>0</xdr:rowOff>
        </xdr:from>
        <xdr:to>
          <xdr:col>10</xdr:col>
          <xdr:colOff>230591</xdr:colOff>
          <xdr:row>20</xdr:row>
          <xdr:rowOff>21166</xdr:rowOff>
        </xdr:to>
        <xdr:pic>
          <xdr:nvPicPr>
            <xdr:cNvPr id="40" name="Picture 3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8000000}"/>
                </a:ext>
              </a:extLst>
            </xdr:cNvPr>
            <xdr:cNvPicPr>
              <a:picLocks noChangeAspect="1" noChangeArrowheads="1"/>
              <a:extLst>
                <a:ext uri="{84589F7E-364E-4C9E-8A38-B11213B215E9}">
                  <a14:cameraTool cellRange="Picture2" spid="_x0000_s52642"/>
                </a:ext>
              </a:extLst>
            </xdr:cNvPicPr>
          </xdr:nvPicPr>
          <xdr:blipFill>
            <a:blip xmlns:r="http://schemas.openxmlformats.org/officeDocument/2006/relationships" r:embed="rId4"/>
            <a:srcRect/>
            <a:stretch>
              <a:fillRect/>
            </a:stretch>
          </xdr:blipFill>
          <xdr:spPr bwMode="auto">
            <a:xfrm>
              <a:off x="4095739" y="250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20</xdr:row>
          <xdr:rowOff>0</xdr:rowOff>
        </xdr:from>
        <xdr:to>
          <xdr:col>10</xdr:col>
          <xdr:colOff>230591</xdr:colOff>
          <xdr:row>23</xdr:row>
          <xdr:rowOff>21168</xdr:rowOff>
        </xdr:to>
        <xdr:pic>
          <xdr:nvPicPr>
            <xdr:cNvPr id="41" name="Picture 4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9000000}"/>
                </a:ext>
              </a:extLst>
            </xdr:cNvPr>
            <xdr:cNvPicPr>
              <a:picLocks noChangeAspect="1" noChangeArrowheads="1"/>
              <a:extLst>
                <a:ext uri="{84589F7E-364E-4C9E-8A38-B11213B215E9}">
                  <a14:cameraTool cellRange="Picture3" spid="_x0000_s52643"/>
                </a:ext>
              </a:extLst>
            </xdr:cNvPicPr>
          </xdr:nvPicPr>
          <xdr:blipFill>
            <a:blip xmlns:r="http://schemas.openxmlformats.org/officeDocument/2006/relationships" r:embed="rId4"/>
            <a:srcRect/>
            <a:stretch>
              <a:fillRect/>
            </a:stretch>
          </xdr:blipFill>
          <xdr:spPr bwMode="auto">
            <a:xfrm>
              <a:off x="4095739" y="3143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23</xdr:row>
          <xdr:rowOff>0</xdr:rowOff>
        </xdr:from>
        <xdr:to>
          <xdr:col>10</xdr:col>
          <xdr:colOff>230591</xdr:colOff>
          <xdr:row>26</xdr:row>
          <xdr:rowOff>21166</xdr:rowOff>
        </xdr:to>
        <xdr:pic>
          <xdr:nvPicPr>
            <xdr:cNvPr id="42" name="Picture 4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A000000}"/>
                </a:ext>
              </a:extLst>
            </xdr:cNvPr>
            <xdr:cNvPicPr>
              <a:picLocks noChangeAspect="1" noChangeArrowheads="1"/>
              <a:extLst>
                <a:ext uri="{84589F7E-364E-4C9E-8A38-B11213B215E9}">
                  <a14:cameraTool cellRange="Picture4" spid="_x0000_s52644"/>
                </a:ext>
              </a:extLst>
            </xdr:cNvPicPr>
          </xdr:nvPicPr>
          <xdr:blipFill>
            <a:blip xmlns:r="http://schemas.openxmlformats.org/officeDocument/2006/relationships" r:embed="rId5"/>
            <a:srcRect/>
            <a:stretch>
              <a:fillRect/>
            </a:stretch>
          </xdr:blipFill>
          <xdr:spPr bwMode="auto">
            <a:xfrm>
              <a:off x="4095739" y="377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356742</xdr:colOff>
          <xdr:row>14</xdr:row>
          <xdr:rowOff>5999</xdr:rowOff>
        </xdr:from>
        <xdr:to>
          <xdr:col>10</xdr:col>
          <xdr:colOff>228865</xdr:colOff>
          <xdr:row>17</xdr:row>
          <xdr:rowOff>11715</xdr:rowOff>
        </xdr:to>
        <xdr:pic>
          <xdr:nvPicPr>
            <xdr:cNvPr id="33" name="Picture 32"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1000000}"/>
                </a:ext>
              </a:extLst>
            </xdr:cNvPr>
            <xdr:cNvPicPr>
              <a:picLocks noChangeAspect="1" noChangeArrowheads="1"/>
              <a:extLst>
                <a:ext uri="{84589F7E-364E-4C9E-8A38-B11213B215E9}">
                  <a14:cameraTool cellRange="Picture1" spid="_x0000_s52645"/>
                </a:ext>
              </a:extLst>
            </xdr:cNvPicPr>
          </xdr:nvPicPr>
          <xdr:blipFill>
            <a:blip xmlns:r="http://schemas.openxmlformats.org/officeDocument/2006/relationships" r:embed="rId5"/>
            <a:srcRect/>
            <a:stretch>
              <a:fillRect/>
            </a:stretch>
          </xdr:blipFill>
          <xdr:spPr bwMode="auto">
            <a:xfrm>
              <a:off x="5426159" y="2048582"/>
              <a:ext cx="616924" cy="661881"/>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xdr:twoCellAnchor>
    <xdr:from>
      <xdr:col>4</xdr:col>
      <xdr:colOff>0</xdr:colOff>
      <xdr:row>28</xdr:row>
      <xdr:rowOff>0</xdr:rowOff>
    </xdr:from>
    <xdr:to>
      <xdr:col>14</xdr:col>
      <xdr:colOff>0</xdr:colOff>
      <xdr:row>47</xdr:row>
      <xdr:rowOff>174401</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6</xdr:row>
      <xdr:rowOff>95249</xdr:rowOff>
    </xdr:from>
    <xdr:to>
      <xdr:col>23</xdr:col>
      <xdr:colOff>619124</xdr:colOff>
      <xdr:row>27</xdr:row>
      <xdr:rowOff>11906</xdr:rowOff>
    </xdr:to>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11906</xdr:colOff>
      <xdr:row>28</xdr:row>
      <xdr:rowOff>11906</xdr:rowOff>
    </xdr:from>
    <xdr:to>
      <xdr:col>34</xdr:col>
      <xdr:colOff>130968</xdr:colOff>
      <xdr:row>48</xdr:row>
      <xdr:rowOff>0</xdr:rowOff>
    </xdr:to>
    <xdr:graphicFrame macro="">
      <xdr:nvGraphicFramePr>
        <xdr:cNvPr id="22" name="Chart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66675</xdr:rowOff>
    </xdr:from>
    <xdr:to>
      <xdr:col>8</xdr:col>
      <xdr:colOff>10583</xdr:colOff>
      <xdr:row>11</xdr:row>
      <xdr:rowOff>129170</xdr:rowOff>
    </xdr:to>
    <xdr:pic>
      <xdr:nvPicPr>
        <xdr:cNvPr id="8" name="Picture 7" descr="Description: Description: Description: NCVER_CMYK_bar_low_res">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19350"/>
          <a:ext cx="3382433" cy="6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166688</xdr:colOff>
      <xdr:row>0</xdr:row>
      <xdr:rowOff>214313</xdr:rowOff>
    </xdr:from>
    <xdr:to>
      <xdr:col>17</xdr:col>
      <xdr:colOff>476250</xdr:colOff>
      <xdr:row>0</xdr:row>
      <xdr:rowOff>892969</xdr:rowOff>
    </xdr:to>
    <xdr:sp macro="" textlink="">
      <xdr:nvSpPr>
        <xdr:cNvPr id="2" name="Up Arrow 1">
          <a:extLst>
            <a:ext uri="{FF2B5EF4-FFF2-40B4-BE49-F238E27FC236}">
              <a16:creationId xmlns:a16="http://schemas.microsoft.com/office/drawing/2014/main" id="{00000000-0008-0000-0700-000002000000}"/>
            </a:ext>
          </a:extLst>
        </xdr:cNvPr>
        <xdr:cNvSpPr/>
      </xdr:nvSpPr>
      <xdr:spPr>
        <a:xfrm>
          <a:off x="9739313" y="214313"/>
          <a:ext cx="309562" cy="678656"/>
        </a:xfrm>
        <a:prstGeom prst="up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18</xdr:col>
      <xdr:colOff>154781</xdr:colOff>
      <xdr:row>0</xdr:row>
      <xdr:rowOff>238125</xdr:rowOff>
    </xdr:from>
    <xdr:to>
      <xdr:col>18</xdr:col>
      <xdr:colOff>488156</xdr:colOff>
      <xdr:row>0</xdr:row>
      <xdr:rowOff>928688</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10370344" y="238125"/>
          <a:ext cx="333375" cy="690563"/>
        </a:xfrm>
        <a:prstGeom prst="down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0</xdr:colOff>
      <xdr:row>19</xdr:row>
      <xdr:rowOff>0</xdr:rowOff>
    </xdr:from>
    <xdr:to>
      <xdr:col>16</xdr:col>
      <xdr:colOff>137581</xdr:colOff>
      <xdr:row>33</xdr:row>
      <xdr:rowOff>145521</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59531</xdr:colOff>
      <xdr:row>31</xdr:row>
      <xdr:rowOff>95250</xdr:rowOff>
    </xdr:from>
    <xdr:to>
      <xdr:col>13</xdr:col>
      <xdr:colOff>768616</xdr:colOff>
      <xdr:row>35</xdr:row>
      <xdr:rowOff>10582</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7191375" y="7060406"/>
          <a:ext cx="709085" cy="677332"/>
        </a:xfrm>
        <a:prstGeom prst="ellipse">
          <a:avLst/>
        </a:prstGeom>
        <a:solidFill>
          <a:schemeClr val="bg1">
            <a:lumMod val="95000"/>
          </a:schemeClr>
        </a:solidFill>
        <a:ln>
          <a:solidFill>
            <a:srgbClr val="43953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solidFill>
              <a:schemeClr val="bg1">
                <a:lumMod val="75000"/>
              </a:schemeClr>
            </a:solidFill>
          </a:endParaRPr>
        </a:p>
      </xdr:txBody>
    </xdr:sp>
    <xdr:clientData/>
  </xdr:twoCellAnchor>
  <xdr:twoCellAnchor>
    <xdr:from>
      <xdr:col>13</xdr:col>
      <xdr:colOff>190500</xdr:colOff>
      <xdr:row>30</xdr:row>
      <xdr:rowOff>166687</xdr:rowOff>
    </xdr:from>
    <xdr:to>
      <xdr:col>13</xdr:col>
      <xdr:colOff>603246</xdr:colOff>
      <xdr:row>32</xdr:row>
      <xdr:rowOff>156104</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7322344" y="6941343"/>
          <a:ext cx="412746" cy="370417"/>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0</xdr:colOff>
      <xdr:row>36</xdr:row>
      <xdr:rowOff>0</xdr:rowOff>
    </xdr:from>
    <xdr:to>
      <xdr:col>14</xdr:col>
      <xdr:colOff>273844</xdr:colOff>
      <xdr:row>39</xdr:row>
      <xdr:rowOff>74084</xdr:rowOff>
    </xdr:to>
    <xdr:sp macro="" textlink="">
      <xdr:nvSpPr>
        <xdr:cNvPr id="11" name="Rounded Rectangle 10">
          <a:extLst>
            <a:ext uri="{FF2B5EF4-FFF2-40B4-BE49-F238E27FC236}">
              <a16:creationId xmlns:a16="http://schemas.microsoft.com/office/drawing/2014/main" id="{00000000-0008-0000-0700-00000B000000}"/>
            </a:ext>
          </a:extLst>
        </xdr:cNvPr>
        <xdr:cNvSpPr/>
      </xdr:nvSpPr>
      <xdr:spPr>
        <a:xfrm>
          <a:off x="7131844" y="7917656"/>
          <a:ext cx="1524000" cy="645584"/>
        </a:xfrm>
        <a:prstGeom prst="roundRect">
          <a:avLst/>
        </a:prstGeom>
        <a:solidFill>
          <a:srgbClr val="DDC9E2"/>
        </a:solidFill>
        <a:ln>
          <a:solidFill>
            <a:srgbClr val="7827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0" u="sng">
              <a:solidFill>
                <a:srgbClr val="78278B"/>
              </a:solidFill>
            </a:rPr>
            <a:t>NOTE</a:t>
          </a:r>
          <a:r>
            <a:rPr lang="en-AU" sz="900">
              <a:solidFill>
                <a:srgbClr val="78278B"/>
              </a:solidFill>
            </a:rPr>
            <a:t>: This</a:t>
          </a:r>
          <a:r>
            <a:rPr lang="en-AU" sz="900" baseline="0">
              <a:solidFill>
                <a:srgbClr val="78278B"/>
              </a:solidFill>
            </a:rPr>
            <a:t> metric only applies to the earliest review quarter selected.</a:t>
          </a:r>
        </a:p>
      </xdr:txBody>
    </xdr:sp>
    <xdr:clientData/>
  </xdr:twoCellAnchor>
  <xdr:twoCellAnchor editAs="oneCell">
    <xdr:from>
      <xdr:col>14</xdr:col>
      <xdr:colOff>154782</xdr:colOff>
      <xdr:row>0</xdr:row>
      <xdr:rowOff>35718</xdr:rowOff>
    </xdr:from>
    <xdr:to>
      <xdr:col>14</xdr:col>
      <xdr:colOff>1169396</xdr:colOff>
      <xdr:row>0</xdr:row>
      <xdr:rowOff>1047750</xdr:rowOff>
    </xdr:to>
    <xdr:pic>
      <xdr:nvPicPr>
        <xdr:cNvPr id="10250" name="Picture 10" descr="U:\A&amp;T\Estimates Review\Working docs\ThumbsDown-01 (2).png">
          <a:extLst>
            <a:ext uri="{FF2B5EF4-FFF2-40B4-BE49-F238E27FC236}">
              <a16:creationId xmlns:a16="http://schemas.microsoft.com/office/drawing/2014/main" id="{00000000-0008-0000-0700-00000A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6782" y="35718"/>
          <a:ext cx="1014614" cy="1012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119062</xdr:colOff>
      <xdr:row>0</xdr:row>
      <xdr:rowOff>0</xdr:rowOff>
    </xdr:from>
    <xdr:to>
      <xdr:col>13</xdr:col>
      <xdr:colOff>1179708</xdr:colOff>
      <xdr:row>0</xdr:row>
      <xdr:rowOff>1021556</xdr:rowOff>
    </xdr:to>
    <xdr:pic>
      <xdr:nvPicPr>
        <xdr:cNvPr id="10251" name="Picture 11" descr="U:\A&amp;T\Estimates Review\Working docs\ThumbsUp-01 (2).png">
          <a:extLst>
            <a:ext uri="{FF2B5EF4-FFF2-40B4-BE49-F238E27FC236}">
              <a16:creationId xmlns:a16="http://schemas.microsoft.com/office/drawing/2014/main" id="{00000000-0008-0000-0700-00000B2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0906" y="0"/>
          <a:ext cx="1060646" cy="102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xdr:col>
      <xdr:colOff>228600</xdr:colOff>
      <xdr:row>6</xdr:row>
      <xdr:rowOff>114300</xdr:rowOff>
    </xdr:to>
    <xdr:pic>
      <xdr:nvPicPr>
        <xdr:cNvPr id="4" name="Picture 1" descr="P:\PublicationComponents\logos\Creativecommons\CC BY logo.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52500"/>
          <a:ext cx="8382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an Rathod" refreshedDate="45950.642483680553" createdVersion="4" refreshedVersion="8" minRefreshableVersion="3" recordCount="288" xr:uid="{00000000-000A-0000-FFFF-FFFF0E000000}">
  <cacheSource type="worksheet">
    <worksheetSource name="Table1"/>
  </cacheSource>
  <cacheFields count="23">
    <cacheField name=" " numFmtId="3">
      <sharedItems containsSemiMixedTypes="0" containsString="0" containsNumber="1" containsInteger="1" minValue="1" maxValue="288"/>
    </cacheField>
    <cacheField name="State" numFmtId="49">
      <sharedItems count="9">
        <s v="Australia"/>
        <s v="Australian Capital Territory"/>
        <s v="New South Wales"/>
        <s v="Northern Territory"/>
        <s v="Queensland"/>
        <s v="South Australia"/>
        <s v="Tasmania"/>
        <s v="Victoria"/>
        <s v="Western Australia"/>
      </sharedItems>
    </cacheField>
    <cacheField name="contract" numFmtId="49">
      <sharedItems count="8">
        <s v="Cancellations/withdrawals"/>
        <s v="Commencements"/>
        <s v="Completions"/>
        <s v="In-training"/>
        <s v="04" u="1"/>
        <s v="IT" u="1"/>
        <s v="CW" u="1"/>
        <s v="01" u="1"/>
      </sharedItems>
    </cacheField>
    <cacheField name="collection_quarter" numFmtId="0">
      <sharedItems containsSemiMixedTypes="0" containsString="0" containsNumber="1" minValue="2023.2" maxValue="2025.1"/>
    </cacheField>
    <cacheField name="collection_number" numFmtId="0">
      <sharedItems containsSemiMixedTypes="0" containsString="0" containsNumber="1" containsInteger="1" minValue="81" maxValue="123" count="43">
        <n v="115"/>
        <n v="116"/>
        <n v="117"/>
        <n v="118"/>
        <n v="119"/>
        <n v="120"/>
        <n v="121"/>
        <n v="122"/>
        <n v="123"/>
        <n v="114" u="1"/>
        <n v="113" u="1"/>
        <n v="112" u="1"/>
        <n v="111" u="1"/>
        <n v="110" u="1"/>
        <n v="109" u="1"/>
        <n v="108" u="1"/>
        <n v="107" u="1"/>
        <n v="106" u="1"/>
        <n v="96" u="1"/>
        <n v="100" u="1"/>
        <n v="104" u="1"/>
        <n v="83" u="1"/>
        <n v="87" u="1"/>
        <n v="91" u="1"/>
        <n v="95" u="1"/>
        <n v="99" u="1"/>
        <n v="103" u="1"/>
        <n v="82" u="1"/>
        <n v="86" u="1"/>
        <n v="90" u="1"/>
        <n v="94" u="1"/>
        <n v="98" u="1"/>
        <n v="102" u="1"/>
        <n v="81" u="1"/>
        <n v="85" u="1"/>
        <n v="89" u="1"/>
        <n v="93" u="1"/>
        <n v="97" u="1"/>
        <n v="101" u="1"/>
        <n v="105" u="1"/>
        <n v="84" u="1"/>
        <n v="88" u="1"/>
        <n v="92" u="1"/>
      </sharedItems>
    </cacheField>
    <cacheField name="review_quarter" numFmtId="169">
      <sharedItems containsSemiMixedTypes="0" containsNonDate="0" containsDate="1" containsString="0" minDate="2014-06-01T00:00:00" maxDate="2024-09-02T00:00:00" count="42">
        <d v="2022-12-01T00:00:00"/>
        <d v="2023-03-01T00:00:00"/>
        <d v="2023-06-01T00:00:00"/>
        <d v="2023-09-01T00:00:00"/>
        <d v="2023-12-01T00:00:00"/>
        <d v="2024-03-01T00:00:00"/>
        <d v="2024-06-01T00:00:00"/>
        <d v="2024-09-01T00:00:00"/>
        <d v="2022-09-01T00:00:00" u="1"/>
        <d v="2022-06-01T00:00:00" u="1"/>
        <d v="2022-03-01T00:00:00" u="1"/>
        <d v="2021-12-01T00:00:00" u="1"/>
        <d v="2021-09-01T00:00:00" u="1"/>
        <d v="2021-06-01T00:00:00" u="1"/>
        <d v="2021-03-01T00:00:00" u="1"/>
        <d v="2020-12-01T00:00:00" u="1"/>
        <d v="2020-09-01T00:00:00" u="1"/>
        <d v="2014-06-01T00:00:00" u="1"/>
        <d v="2015-06-01T00:00:00" u="1"/>
        <d v="2016-06-01T00:00:00" u="1"/>
        <d v="2017-06-01T00:00:00" u="1"/>
        <d v="2018-06-01T00:00:00" u="1"/>
        <d v="2019-06-01T00:00:00" u="1"/>
        <d v="2020-06-01T00:00:00" u="1"/>
        <d v="2015-03-01T00:00:00" u="1"/>
        <d v="2016-03-01T00:00:00" u="1"/>
        <d v="2017-03-01T00:00:00" u="1"/>
        <d v="2018-03-01T00:00:00" u="1"/>
        <d v="2019-03-01T00:00:00" u="1"/>
        <d v="2020-03-01T00:00:00" u="1"/>
        <d v="2014-12-01T00:00:00" u="1"/>
        <d v="2015-12-01T00:00:00" u="1"/>
        <d v="2016-12-01T00:00:00" u="1"/>
        <d v="2017-12-01T00:00:00" u="1"/>
        <d v="2018-12-01T00:00:00" u="1"/>
        <d v="2019-12-01T00:00:00" u="1"/>
        <d v="2014-09-01T00:00:00" u="1"/>
        <d v="2015-09-01T00:00:00" u="1"/>
        <d v="2016-09-01T00:00:00" u="1"/>
        <d v="2017-09-01T00:00:00" u="1"/>
        <d v="2018-09-01T00:00:00" u="1"/>
        <d v="2019-09-01T00:00:00" u="1"/>
      </sharedItems>
    </cacheField>
    <cacheField name="Estimate" numFmtId="0">
      <sharedItems containsSemiMixedTypes="0" containsString="0" containsNumber="1" minValue="201" maxValue="388104"/>
    </cacheField>
    <cacheField name="model" numFmtId="0">
      <sharedItems containsSemiMixedTypes="0" containsString="0" containsNumber="1" containsInteger="1" minValue="0" maxValue="387966"/>
    </cacheField>
    <cacheField name="type" numFmtId="49">
      <sharedItems count="3">
        <s v="Initial"/>
        <s v="1st revision"/>
        <s v="First revision" u="1"/>
      </sharedItems>
    </cacheField>
    <cacheField name="Low95" numFmtId="0">
      <sharedItems containsSemiMixedTypes="0" containsString="0" containsNumber="1" containsInteger="1" minValue="184" maxValue="386213"/>
    </cacheField>
    <cacheField name="High95" numFmtId="0">
      <sharedItems containsSemiMixedTypes="0" containsString="0" containsNumber="1" containsInteger="1" minValue="216" maxValue="392821"/>
    </cacheField>
    <cacheField name="final_count" numFmtId="0">
      <sharedItems containsSemiMixedTypes="0" containsString="0" containsNumber="1" containsInteger="1" minValue="198" maxValue="383849"/>
    </cacheField>
    <cacheField name="perc_of_final_count" numFmtId="0">
      <sharedItems containsSemiMixedTypes="0" containsString="0" containsNumber="1" minValue="82.3" maxValue="115.7"/>
    </cacheField>
    <cacheField name="count_in_PI" numFmtId="49">
      <sharedItems/>
    </cacheField>
    <cacheField name="raw_value" numFmtId="0">
      <sharedItems containsSemiMixedTypes="0" containsString="0" containsNumber="1" containsInteger="1" minValue="192" maxValue="393743"/>
    </cacheField>
    <cacheField name="model_perc_final_count" numFmtId="0">
      <sharedItems containsSemiMixedTypes="0" containsString="0" containsNumber="1" minValue="0" maxValue="116.8"/>
    </cacheField>
    <cacheField name="Field1" numFmtId="0" formula="perc_of_final_count/100" databaseField="0"/>
    <cacheField name="Baseline" numFmtId="0" formula="perc_of_final_count/perc_of_final_count" databaseField="0"/>
    <cacheField name="Field2" numFmtId="0" formula="perc_of_final_count/100" databaseField="0"/>
    <cacheField name="Model as % of final count" numFmtId="0" formula="model/final_count" databaseField="0"/>
    <cacheField name="Field3" numFmtId="0" formula=" IF(model=0,NA(),model/Estimate)" databaseField="0"/>
    <cacheField name="Model % of final count " numFmtId="0" formula="model_perc_final_count/100" databaseField="0"/>
    <cacheField name="Model as % of final count " numFmtId="0" formula="IF(model_perc_final_count=0,NA(),model_perc_final_count/100)"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n v="1"/>
    <x v="0"/>
    <x v="0"/>
    <n v="2023.2"/>
    <x v="0"/>
    <x v="0"/>
    <n v="30095"/>
    <n v="0"/>
    <x v="0"/>
    <n v="28209"/>
    <n v="31981"/>
    <n v="32198"/>
    <n v="93.5"/>
    <s v="N"/>
    <n v="24685"/>
    <n v="0"/>
  </r>
  <r>
    <n v="2"/>
    <x v="0"/>
    <x v="0"/>
    <n v="2023.2"/>
    <x v="1"/>
    <x v="0"/>
    <n v="31638"/>
    <n v="0"/>
    <x v="1"/>
    <n v="30763"/>
    <n v="32513"/>
    <n v="32198"/>
    <n v="98.3"/>
    <s v="N"/>
    <n v="28587"/>
    <n v="0"/>
  </r>
  <r>
    <n v="3"/>
    <x v="0"/>
    <x v="0"/>
    <n v="2023.3"/>
    <x v="1"/>
    <x v="1"/>
    <n v="32817.172402000004"/>
    <n v="32530"/>
    <x v="0"/>
    <n v="30846"/>
    <n v="34788"/>
    <n v="32748"/>
    <n v="100.2"/>
    <s v="Y"/>
    <n v="26500"/>
    <n v="99.3"/>
  </r>
  <r>
    <n v="4"/>
    <x v="0"/>
    <x v="0"/>
    <n v="2023.3"/>
    <x v="2"/>
    <x v="1"/>
    <n v="33060"/>
    <n v="0"/>
    <x v="1"/>
    <n v="32356"/>
    <n v="33764"/>
    <n v="32748"/>
    <n v="101"/>
    <s v="Y"/>
    <n v="29796"/>
    <n v="0"/>
  </r>
  <r>
    <n v="5"/>
    <x v="0"/>
    <x v="0"/>
    <n v="2023.4"/>
    <x v="2"/>
    <x v="2"/>
    <n v="31312"/>
    <n v="0"/>
    <x v="0"/>
    <n v="29594"/>
    <n v="33030"/>
    <n v="30115"/>
    <n v="104"/>
    <s v="Y"/>
    <n v="25200"/>
    <n v="0"/>
  </r>
  <r>
    <n v="6"/>
    <x v="0"/>
    <x v="0"/>
    <n v="2023.4"/>
    <x v="3"/>
    <x v="2"/>
    <n v="30607"/>
    <n v="0"/>
    <x v="1"/>
    <n v="30076"/>
    <n v="31138"/>
    <n v="30115"/>
    <n v="101.6"/>
    <s v="Y"/>
    <n v="27442"/>
    <n v="0"/>
  </r>
  <r>
    <n v="7"/>
    <x v="0"/>
    <x v="0"/>
    <n v="2024.1"/>
    <x v="3"/>
    <x v="3"/>
    <n v="30673"/>
    <n v="0"/>
    <x v="0"/>
    <n v="29355"/>
    <n v="31991"/>
    <n v="29164"/>
    <n v="105.2"/>
    <s v="N"/>
    <n v="24519"/>
    <n v="0"/>
  </r>
  <r>
    <n v="8"/>
    <x v="0"/>
    <x v="0"/>
    <n v="2024.1"/>
    <x v="4"/>
    <x v="3"/>
    <n v="29970"/>
    <n v="0"/>
    <x v="1"/>
    <n v="29441"/>
    <n v="30499"/>
    <n v="29164"/>
    <n v="102.8"/>
    <s v="N"/>
    <n v="26818"/>
    <n v="0"/>
  </r>
  <r>
    <n v="9"/>
    <x v="0"/>
    <x v="1"/>
    <n v="2024.2"/>
    <x v="4"/>
    <x v="4"/>
    <n v="35241"/>
    <n v="35695"/>
    <x v="0"/>
    <n v="31578"/>
    <n v="38904"/>
    <n v="33193"/>
    <n v="106.2"/>
    <s v="Y"/>
    <n v="31989"/>
    <n v="107.5"/>
  </r>
  <r>
    <n v="10"/>
    <x v="0"/>
    <x v="1"/>
    <n v="2024.2"/>
    <x v="5"/>
    <x v="4"/>
    <n v="33690"/>
    <n v="0"/>
    <x v="1"/>
    <n v="33031"/>
    <n v="34349"/>
    <n v="33193"/>
    <n v="101.5"/>
    <s v="Y"/>
    <n v="33027"/>
    <n v="0"/>
  </r>
  <r>
    <n v="11"/>
    <x v="0"/>
    <x v="1"/>
    <n v="2024.3"/>
    <x v="5"/>
    <x v="5"/>
    <n v="59685"/>
    <n v="60508"/>
    <x v="0"/>
    <n v="53106"/>
    <n v="66264"/>
    <n v="55845"/>
    <n v="106.9"/>
    <s v="Y"/>
    <n v="54047"/>
    <n v="108.3"/>
  </r>
  <r>
    <n v="12"/>
    <x v="0"/>
    <x v="1"/>
    <n v="2024.3"/>
    <x v="6"/>
    <x v="5"/>
    <n v="56715"/>
    <n v="0"/>
    <x v="1"/>
    <n v="55472"/>
    <n v="57958"/>
    <n v="55845"/>
    <n v="101.6"/>
    <s v="Y"/>
    <n v="55586"/>
    <n v="0"/>
  </r>
  <r>
    <n v="13"/>
    <x v="0"/>
    <x v="1"/>
    <n v="2024.4"/>
    <x v="6"/>
    <x v="6"/>
    <n v="42688"/>
    <n v="43205"/>
    <x v="0"/>
    <n v="38528"/>
    <n v="46848"/>
    <n v="40868"/>
    <n v="104.5"/>
    <s v="Y"/>
    <n v="38988"/>
    <n v="105.7"/>
  </r>
  <r>
    <n v="14"/>
    <x v="0"/>
    <x v="1"/>
    <n v="2024.4"/>
    <x v="7"/>
    <x v="6"/>
    <n v="41410"/>
    <n v="0"/>
    <x v="1"/>
    <n v="40611"/>
    <n v="42209"/>
    <n v="40868"/>
    <n v="101.3"/>
    <s v="Y"/>
    <n v="40699"/>
    <n v="0"/>
  </r>
  <r>
    <n v="15"/>
    <x v="0"/>
    <x v="1"/>
    <n v="2025.1"/>
    <x v="7"/>
    <x v="7"/>
    <n v="28107"/>
    <n v="28454"/>
    <x v="0"/>
    <n v="25220"/>
    <n v="30994"/>
    <n v="26748"/>
    <n v="105.1"/>
    <s v="Y"/>
    <n v="25656"/>
    <n v="106.4"/>
  </r>
  <r>
    <n v="16"/>
    <x v="0"/>
    <x v="1"/>
    <n v="2025.1"/>
    <x v="8"/>
    <x v="7"/>
    <n v="26984"/>
    <n v="0"/>
    <x v="1"/>
    <n v="26404"/>
    <n v="27564"/>
    <n v="26748"/>
    <n v="100.9"/>
    <s v="Y"/>
    <n v="26534"/>
    <n v="0"/>
  </r>
  <r>
    <n v="17"/>
    <x v="0"/>
    <x v="2"/>
    <n v="2024.2"/>
    <x v="4"/>
    <x v="4"/>
    <n v="30954"/>
    <n v="0"/>
    <x v="0"/>
    <n v="30440"/>
    <n v="31468"/>
    <n v="30286"/>
    <n v="102.2"/>
    <s v="N"/>
    <n v="28876"/>
    <n v="0"/>
  </r>
  <r>
    <n v="18"/>
    <x v="0"/>
    <x v="2"/>
    <n v="2024.2"/>
    <x v="5"/>
    <x v="4"/>
    <n v="30779"/>
    <n v="0"/>
    <x v="1"/>
    <n v="30495"/>
    <n v="31063"/>
    <n v="30286"/>
    <n v="101.6"/>
    <s v="N"/>
    <n v="29788"/>
    <n v="0"/>
  </r>
  <r>
    <n v="19"/>
    <x v="0"/>
    <x v="2"/>
    <n v="2024.3"/>
    <x v="5"/>
    <x v="5"/>
    <n v="25581"/>
    <n v="0"/>
    <x v="0"/>
    <n v="25041"/>
    <n v="26121"/>
    <n v="24827"/>
    <n v="103"/>
    <s v="N"/>
    <n v="23850"/>
    <n v="0"/>
  </r>
  <r>
    <n v="20"/>
    <x v="0"/>
    <x v="2"/>
    <n v="2024.3"/>
    <x v="6"/>
    <x v="5"/>
    <n v="25311"/>
    <n v="0"/>
    <x v="1"/>
    <n v="25026"/>
    <n v="25596"/>
    <n v="24827"/>
    <n v="101.9"/>
    <s v="N"/>
    <n v="24500"/>
    <n v="0"/>
  </r>
  <r>
    <n v="21"/>
    <x v="0"/>
    <x v="2"/>
    <n v="2024.4"/>
    <x v="6"/>
    <x v="6"/>
    <n v="22275"/>
    <n v="0"/>
    <x v="0"/>
    <n v="21858"/>
    <n v="22692"/>
    <n v="21614"/>
    <n v="103.1"/>
    <s v="N"/>
    <n v="20805"/>
    <n v="0"/>
  </r>
  <r>
    <n v="22"/>
    <x v="0"/>
    <x v="2"/>
    <n v="2024.4"/>
    <x v="7"/>
    <x v="6"/>
    <n v="21987"/>
    <n v="0"/>
    <x v="1"/>
    <n v="21767"/>
    <n v="22207"/>
    <n v="21614"/>
    <n v="101.7"/>
    <s v="N"/>
    <n v="21320"/>
    <n v="0"/>
  </r>
  <r>
    <n v="23"/>
    <x v="0"/>
    <x v="2"/>
    <n v="2025.1"/>
    <x v="7"/>
    <x v="7"/>
    <n v="22593"/>
    <n v="0"/>
    <x v="0"/>
    <n v="22134"/>
    <n v="23052"/>
    <n v="22001"/>
    <n v="102.7"/>
    <s v="N"/>
    <n v="21146"/>
    <n v="0"/>
  </r>
  <r>
    <n v="24"/>
    <x v="0"/>
    <x v="2"/>
    <n v="2025.1"/>
    <x v="8"/>
    <x v="7"/>
    <n v="22340"/>
    <n v="0"/>
    <x v="1"/>
    <n v="22147"/>
    <n v="22533"/>
    <n v="22001"/>
    <n v="101.5"/>
    <s v="N"/>
    <n v="21708"/>
    <n v="0"/>
  </r>
  <r>
    <n v="25"/>
    <x v="0"/>
    <x v="3"/>
    <n v="2023.2"/>
    <x v="0"/>
    <x v="0"/>
    <n v="377659"/>
    <n v="0"/>
    <x v="0"/>
    <n v="374902"/>
    <n v="380416"/>
    <n v="374350"/>
    <n v="100.9"/>
    <s v="N"/>
    <n v="386723"/>
    <n v="0"/>
  </r>
  <r>
    <n v="26"/>
    <x v="0"/>
    <x v="3"/>
    <n v="2023.2"/>
    <x v="1"/>
    <x v="0"/>
    <n v="377657"/>
    <n v="0"/>
    <x v="1"/>
    <n v="376162"/>
    <n v="379152"/>
    <n v="374350"/>
    <n v="100.9"/>
    <s v="N"/>
    <n v="383283"/>
    <n v="0"/>
  </r>
  <r>
    <n v="27"/>
    <x v="0"/>
    <x v="3"/>
    <n v="2023.3"/>
    <x v="1"/>
    <x v="1"/>
    <n v="387489.11006540002"/>
    <n v="387966"/>
    <x v="0"/>
    <n v="382157"/>
    <n v="392821"/>
    <n v="383849"/>
    <n v="100.9"/>
    <s v="Y"/>
    <n v="393743"/>
    <n v="101.1"/>
  </r>
  <r>
    <n v="28"/>
    <x v="0"/>
    <x v="3"/>
    <n v="2023.3"/>
    <x v="2"/>
    <x v="1"/>
    <n v="388104"/>
    <n v="0"/>
    <x v="1"/>
    <n v="386213"/>
    <n v="389995"/>
    <n v="383849"/>
    <n v="101.1"/>
    <s v="Y"/>
    <n v="392359"/>
    <n v="0"/>
  </r>
  <r>
    <n v="29"/>
    <x v="0"/>
    <x v="3"/>
    <n v="2023.4"/>
    <x v="2"/>
    <x v="2"/>
    <n v="377706"/>
    <n v="378075"/>
    <x v="0"/>
    <n v="372791"/>
    <n v="382621"/>
    <n v="372741"/>
    <n v="101.3"/>
    <s v="N"/>
    <n v="384018"/>
    <n v="101.4"/>
  </r>
  <r>
    <n v="30"/>
    <x v="0"/>
    <x v="3"/>
    <n v="2023.4"/>
    <x v="3"/>
    <x v="2"/>
    <n v="377714"/>
    <n v="0"/>
    <x v="1"/>
    <n v="376277"/>
    <n v="379151"/>
    <n v="372741"/>
    <n v="101.3"/>
    <s v="N"/>
    <n v="381388"/>
    <n v="0"/>
  </r>
  <r>
    <n v="31"/>
    <x v="0"/>
    <x v="3"/>
    <n v="2024.1"/>
    <x v="3"/>
    <x v="3"/>
    <n v="365408"/>
    <n v="365845"/>
    <x v="0"/>
    <n v="361215"/>
    <n v="369601"/>
    <n v="359681"/>
    <n v="101.6"/>
    <s v="N"/>
    <n v="371473"/>
    <n v="101.7"/>
  </r>
  <r>
    <n v="32"/>
    <x v="0"/>
    <x v="3"/>
    <n v="2024.1"/>
    <x v="4"/>
    <x v="3"/>
    <n v="364489"/>
    <n v="0"/>
    <x v="1"/>
    <n v="363149"/>
    <n v="365829"/>
    <n v="359681"/>
    <n v="101.3"/>
    <s v="N"/>
    <n v="367536"/>
    <n v="0"/>
  </r>
  <r>
    <n v="33"/>
    <x v="1"/>
    <x v="0"/>
    <n v="2023.2"/>
    <x v="0"/>
    <x v="0"/>
    <n v="598"/>
    <n v="0"/>
    <x v="0"/>
    <n v="592"/>
    <n v="604"/>
    <n v="597"/>
    <n v="100.2"/>
    <s v="Y"/>
    <n v="598"/>
    <n v="0"/>
  </r>
  <r>
    <n v="34"/>
    <x v="1"/>
    <x v="0"/>
    <n v="2023.2"/>
    <x v="1"/>
    <x v="0"/>
    <n v="598"/>
    <n v="0"/>
    <x v="1"/>
    <n v="594"/>
    <n v="602"/>
    <n v="597"/>
    <n v="100.2"/>
    <s v="Y"/>
    <n v="598"/>
    <n v="0"/>
  </r>
  <r>
    <n v="35"/>
    <x v="1"/>
    <x v="0"/>
    <n v="2023.3"/>
    <x v="1"/>
    <x v="1"/>
    <n v="607"/>
    <n v="0"/>
    <x v="0"/>
    <n v="603"/>
    <n v="611"/>
    <n v="606"/>
    <n v="100.2"/>
    <s v="Y"/>
    <n v="607"/>
    <n v="0"/>
  </r>
  <r>
    <n v="36"/>
    <x v="1"/>
    <x v="0"/>
    <n v="2023.3"/>
    <x v="2"/>
    <x v="1"/>
    <n v="606"/>
    <n v="0"/>
    <x v="1"/>
    <n v="602"/>
    <n v="610"/>
    <n v="606"/>
    <n v="100"/>
    <s v="Y"/>
    <n v="606"/>
    <n v="0"/>
  </r>
  <r>
    <n v="37"/>
    <x v="1"/>
    <x v="0"/>
    <n v="2023.4"/>
    <x v="2"/>
    <x v="2"/>
    <n v="610"/>
    <n v="0"/>
    <x v="0"/>
    <n v="606"/>
    <n v="614"/>
    <n v="610"/>
    <n v="100"/>
    <s v="Y"/>
    <n v="610"/>
    <n v="0"/>
  </r>
  <r>
    <n v="38"/>
    <x v="1"/>
    <x v="0"/>
    <n v="2023.4"/>
    <x v="3"/>
    <x v="2"/>
    <n v="610"/>
    <n v="0"/>
    <x v="1"/>
    <n v="606"/>
    <n v="614"/>
    <n v="610"/>
    <n v="100"/>
    <s v="Y"/>
    <n v="610"/>
    <n v="0"/>
  </r>
  <r>
    <n v="39"/>
    <x v="1"/>
    <x v="0"/>
    <n v="2024.1"/>
    <x v="3"/>
    <x v="3"/>
    <n v="635"/>
    <n v="0"/>
    <x v="0"/>
    <n v="631"/>
    <n v="639"/>
    <n v="635"/>
    <n v="100"/>
    <s v="Y"/>
    <n v="635"/>
    <n v="0"/>
  </r>
  <r>
    <n v="40"/>
    <x v="1"/>
    <x v="0"/>
    <n v="2024.1"/>
    <x v="4"/>
    <x v="3"/>
    <n v="635"/>
    <n v="0"/>
    <x v="1"/>
    <n v="631"/>
    <n v="639"/>
    <n v="635"/>
    <n v="100"/>
    <s v="Y"/>
    <n v="635"/>
    <n v="0"/>
  </r>
  <r>
    <n v="41"/>
    <x v="1"/>
    <x v="1"/>
    <n v="2024.2"/>
    <x v="4"/>
    <x v="4"/>
    <n v="732"/>
    <n v="0"/>
    <x v="0"/>
    <n v="701"/>
    <n v="763"/>
    <n v="711"/>
    <n v="103"/>
    <s v="Y"/>
    <n v="708"/>
    <n v="0"/>
  </r>
  <r>
    <n v="42"/>
    <x v="1"/>
    <x v="1"/>
    <n v="2024.2"/>
    <x v="5"/>
    <x v="4"/>
    <n v="715"/>
    <n v="0"/>
    <x v="1"/>
    <n v="708"/>
    <n v="722"/>
    <n v="711"/>
    <n v="100.6"/>
    <s v="Y"/>
    <n v="711"/>
    <n v="0"/>
  </r>
  <r>
    <n v="43"/>
    <x v="1"/>
    <x v="1"/>
    <n v="2024.3"/>
    <x v="5"/>
    <x v="5"/>
    <n v="963"/>
    <n v="0"/>
    <x v="0"/>
    <n v="934"/>
    <n v="992"/>
    <n v="939"/>
    <n v="102.6"/>
    <s v="Y"/>
    <n v="938"/>
    <n v="0"/>
  </r>
  <r>
    <n v="44"/>
    <x v="1"/>
    <x v="1"/>
    <n v="2024.3"/>
    <x v="6"/>
    <x v="5"/>
    <n v="944"/>
    <n v="0"/>
    <x v="1"/>
    <n v="936"/>
    <n v="952"/>
    <n v="939"/>
    <n v="100.5"/>
    <s v="Y"/>
    <n v="939"/>
    <n v="0"/>
  </r>
  <r>
    <n v="45"/>
    <x v="1"/>
    <x v="1"/>
    <n v="2024.4"/>
    <x v="6"/>
    <x v="6"/>
    <n v="654"/>
    <n v="0"/>
    <x v="0"/>
    <n v="634"/>
    <n v="674"/>
    <n v="641"/>
    <n v="102"/>
    <s v="Y"/>
    <n v="640"/>
    <n v="0"/>
  </r>
  <r>
    <n v="46"/>
    <x v="1"/>
    <x v="1"/>
    <n v="2024.4"/>
    <x v="7"/>
    <x v="6"/>
    <n v="644"/>
    <n v="0"/>
    <x v="1"/>
    <n v="638"/>
    <n v="650"/>
    <n v="641"/>
    <n v="100.5"/>
    <s v="Y"/>
    <n v="641"/>
    <n v="0"/>
  </r>
  <r>
    <n v="47"/>
    <x v="1"/>
    <x v="1"/>
    <n v="2025.1"/>
    <x v="7"/>
    <x v="7"/>
    <n v="629"/>
    <n v="0"/>
    <x v="0"/>
    <n v="609"/>
    <n v="649"/>
    <n v="619"/>
    <n v="101.6"/>
    <s v="Y"/>
    <n v="618"/>
    <n v="0"/>
  </r>
  <r>
    <n v="48"/>
    <x v="1"/>
    <x v="1"/>
    <n v="2025.1"/>
    <x v="8"/>
    <x v="7"/>
    <n v="621"/>
    <n v="0"/>
    <x v="1"/>
    <n v="615"/>
    <n v="627"/>
    <n v="619"/>
    <n v="100.3"/>
    <s v="Y"/>
    <n v="619"/>
    <n v="0"/>
  </r>
  <r>
    <n v="49"/>
    <x v="1"/>
    <x v="2"/>
    <n v="2024.2"/>
    <x v="4"/>
    <x v="4"/>
    <n v="457"/>
    <n v="0"/>
    <x v="0"/>
    <n v="445"/>
    <n v="469"/>
    <n v="463"/>
    <n v="98.7"/>
    <s v="Y"/>
    <n v="428"/>
    <n v="0"/>
  </r>
  <r>
    <n v="50"/>
    <x v="1"/>
    <x v="2"/>
    <n v="2024.2"/>
    <x v="5"/>
    <x v="4"/>
    <n v="474"/>
    <n v="0"/>
    <x v="1"/>
    <n v="455"/>
    <n v="493"/>
    <n v="463"/>
    <n v="102.4"/>
    <s v="Y"/>
    <n v="456"/>
    <n v="0"/>
  </r>
  <r>
    <n v="51"/>
    <x v="1"/>
    <x v="2"/>
    <n v="2024.3"/>
    <x v="5"/>
    <x v="5"/>
    <n v="247"/>
    <n v="0"/>
    <x v="0"/>
    <n v="239"/>
    <n v="255"/>
    <n v="247"/>
    <n v="100"/>
    <s v="Y"/>
    <n v="232"/>
    <n v="0"/>
  </r>
  <r>
    <n v="52"/>
    <x v="1"/>
    <x v="2"/>
    <n v="2024.3"/>
    <x v="6"/>
    <x v="5"/>
    <n v="253"/>
    <n v="0"/>
    <x v="1"/>
    <n v="245"/>
    <n v="261"/>
    <n v="247"/>
    <n v="102.4"/>
    <s v="Y"/>
    <n v="243"/>
    <n v="0"/>
  </r>
  <r>
    <n v="53"/>
    <x v="1"/>
    <x v="2"/>
    <n v="2024.4"/>
    <x v="6"/>
    <x v="6"/>
    <n v="331"/>
    <n v="0"/>
    <x v="0"/>
    <n v="321"/>
    <n v="341"/>
    <n v="328"/>
    <n v="100.9"/>
    <s v="Y"/>
    <n v="310"/>
    <n v="0"/>
  </r>
  <r>
    <n v="54"/>
    <x v="1"/>
    <x v="2"/>
    <n v="2024.4"/>
    <x v="7"/>
    <x v="6"/>
    <n v="332"/>
    <n v="0"/>
    <x v="1"/>
    <n v="321"/>
    <n v="343"/>
    <n v="328"/>
    <n v="101.2"/>
    <s v="Y"/>
    <n v="318"/>
    <n v="0"/>
  </r>
  <r>
    <n v="55"/>
    <x v="1"/>
    <x v="2"/>
    <n v="2025.1"/>
    <x v="7"/>
    <x v="7"/>
    <n v="356"/>
    <n v="0"/>
    <x v="0"/>
    <n v="343"/>
    <n v="369"/>
    <n v="352"/>
    <n v="101.1"/>
    <s v="Y"/>
    <n v="333"/>
    <n v="0"/>
  </r>
  <r>
    <n v="56"/>
    <x v="1"/>
    <x v="2"/>
    <n v="2025.1"/>
    <x v="8"/>
    <x v="7"/>
    <n v="361"/>
    <n v="0"/>
    <x v="1"/>
    <n v="345"/>
    <n v="377"/>
    <n v="352"/>
    <n v="102.6"/>
    <s v="Y"/>
    <n v="346"/>
    <n v="0"/>
  </r>
  <r>
    <n v="57"/>
    <x v="1"/>
    <x v="3"/>
    <n v="2023.2"/>
    <x v="0"/>
    <x v="0"/>
    <n v="6043"/>
    <n v="0"/>
    <x v="0"/>
    <n v="5940"/>
    <n v="6146"/>
    <n v="6552"/>
    <n v="92.2"/>
    <s v="N"/>
    <n v="6567"/>
    <n v="0"/>
  </r>
  <r>
    <n v="58"/>
    <x v="1"/>
    <x v="3"/>
    <n v="2023.2"/>
    <x v="1"/>
    <x v="0"/>
    <n v="6081"/>
    <n v="0"/>
    <x v="1"/>
    <n v="6006"/>
    <n v="6156"/>
    <n v="6552"/>
    <n v="92.8"/>
    <s v="N"/>
    <n v="6564"/>
    <n v="0"/>
  </r>
  <r>
    <n v="59"/>
    <x v="1"/>
    <x v="3"/>
    <n v="2023.3"/>
    <x v="1"/>
    <x v="1"/>
    <n v="6034"/>
    <n v="0"/>
    <x v="0"/>
    <n v="5920"/>
    <n v="6148"/>
    <n v="6524"/>
    <n v="92.5"/>
    <s v="N"/>
    <n v="6541"/>
    <n v="0"/>
  </r>
  <r>
    <n v="60"/>
    <x v="1"/>
    <x v="3"/>
    <n v="2023.3"/>
    <x v="2"/>
    <x v="1"/>
    <n v="6059"/>
    <n v="0"/>
    <x v="1"/>
    <n v="5982"/>
    <n v="6136"/>
    <n v="6524"/>
    <n v="92.9"/>
    <s v="N"/>
    <n v="6538"/>
    <n v="0"/>
  </r>
  <r>
    <n v="61"/>
    <x v="1"/>
    <x v="3"/>
    <n v="2023.4"/>
    <x v="2"/>
    <x v="2"/>
    <n v="5662"/>
    <n v="0"/>
    <x v="0"/>
    <n v="5561"/>
    <n v="5763"/>
    <n v="6142"/>
    <n v="92.2"/>
    <s v="N"/>
    <n v="6186"/>
    <n v="0"/>
  </r>
  <r>
    <n v="62"/>
    <x v="1"/>
    <x v="3"/>
    <n v="2023.4"/>
    <x v="3"/>
    <x v="2"/>
    <n v="5701"/>
    <n v="0"/>
    <x v="1"/>
    <n v="5636"/>
    <n v="5766"/>
    <n v="6142"/>
    <n v="92.8"/>
    <s v="N"/>
    <n v="6172"/>
    <n v="0"/>
  </r>
  <r>
    <n v="63"/>
    <x v="1"/>
    <x v="3"/>
    <n v="2024.1"/>
    <x v="3"/>
    <x v="3"/>
    <n v="5392"/>
    <n v="0"/>
    <x v="0"/>
    <n v="5296"/>
    <n v="5488"/>
    <n v="5876"/>
    <n v="91.8"/>
    <s v="N"/>
    <n v="5922"/>
    <n v="0"/>
  </r>
  <r>
    <n v="64"/>
    <x v="1"/>
    <x v="3"/>
    <n v="2024.1"/>
    <x v="4"/>
    <x v="3"/>
    <n v="5439"/>
    <n v="0"/>
    <x v="1"/>
    <n v="5373"/>
    <n v="5505"/>
    <n v="5876"/>
    <n v="92.6"/>
    <s v="N"/>
    <n v="5913"/>
    <n v="0"/>
  </r>
  <r>
    <n v="65"/>
    <x v="2"/>
    <x v="0"/>
    <n v="2023.2"/>
    <x v="0"/>
    <x v="0"/>
    <n v="8881"/>
    <n v="0"/>
    <x v="0"/>
    <n v="8157"/>
    <n v="9605"/>
    <n v="9447"/>
    <n v="94"/>
    <s v="Y"/>
    <n v="6694"/>
    <n v="0"/>
  </r>
  <r>
    <n v="66"/>
    <x v="2"/>
    <x v="0"/>
    <n v="2023.2"/>
    <x v="1"/>
    <x v="0"/>
    <n v="9231"/>
    <n v="0"/>
    <x v="1"/>
    <n v="8896"/>
    <n v="9566"/>
    <n v="9447"/>
    <n v="97.7"/>
    <s v="Y"/>
    <n v="8008"/>
    <n v="0"/>
  </r>
  <r>
    <n v="67"/>
    <x v="2"/>
    <x v="0"/>
    <n v="2023.3"/>
    <x v="1"/>
    <x v="1"/>
    <n v="9882"/>
    <n v="0"/>
    <x v="0"/>
    <n v="9030"/>
    <n v="10734"/>
    <n v="9909"/>
    <n v="99.7"/>
    <s v="Y"/>
    <n v="7418"/>
    <n v="0"/>
  </r>
  <r>
    <n v="68"/>
    <x v="2"/>
    <x v="0"/>
    <n v="2023.3"/>
    <x v="2"/>
    <x v="1"/>
    <n v="10062"/>
    <n v="0"/>
    <x v="1"/>
    <n v="9743"/>
    <n v="10381"/>
    <n v="9909"/>
    <n v="101.5"/>
    <s v="Y"/>
    <n v="8699"/>
    <n v="0"/>
  </r>
  <r>
    <n v="69"/>
    <x v="2"/>
    <x v="0"/>
    <n v="2023.4"/>
    <x v="2"/>
    <x v="2"/>
    <n v="9324"/>
    <n v="0"/>
    <x v="0"/>
    <n v="8677"/>
    <n v="9971"/>
    <n v="8924"/>
    <n v="104.5"/>
    <s v="Y"/>
    <n v="6946"/>
    <n v="0"/>
  </r>
  <r>
    <n v="70"/>
    <x v="2"/>
    <x v="0"/>
    <n v="2023.4"/>
    <x v="3"/>
    <x v="2"/>
    <n v="9115"/>
    <n v="0"/>
    <x v="1"/>
    <n v="8824"/>
    <n v="9406"/>
    <n v="8924"/>
    <n v="102.1"/>
    <s v="Y"/>
    <n v="7876"/>
    <n v="0"/>
  </r>
  <r>
    <n v="71"/>
    <x v="2"/>
    <x v="0"/>
    <n v="2024.1"/>
    <x v="3"/>
    <x v="3"/>
    <n v="10016"/>
    <n v="0"/>
    <x v="0"/>
    <n v="9264"/>
    <n v="10768"/>
    <n v="9364"/>
    <n v="107"/>
    <s v="Y"/>
    <n v="7470"/>
    <n v="0"/>
  </r>
  <r>
    <n v="72"/>
    <x v="2"/>
    <x v="0"/>
    <n v="2024.1"/>
    <x v="4"/>
    <x v="3"/>
    <n v="9661"/>
    <n v="0"/>
    <x v="1"/>
    <n v="9345"/>
    <n v="9977"/>
    <n v="9364"/>
    <n v="103.2"/>
    <s v="Y"/>
    <n v="8327"/>
    <n v="0"/>
  </r>
  <r>
    <n v="73"/>
    <x v="2"/>
    <x v="1"/>
    <n v="2024.2"/>
    <x v="4"/>
    <x v="4"/>
    <n v="10365"/>
    <n v="10721"/>
    <x v="0"/>
    <n v="7171"/>
    <n v="13559"/>
    <n v="9401"/>
    <n v="110.3"/>
    <s v="Y"/>
    <n v="8677"/>
    <n v="114"/>
  </r>
  <r>
    <n v="74"/>
    <x v="2"/>
    <x v="1"/>
    <n v="2024.2"/>
    <x v="5"/>
    <x v="4"/>
    <n v="9727"/>
    <n v="0"/>
    <x v="1"/>
    <n v="9118"/>
    <n v="10336"/>
    <n v="9401"/>
    <n v="103.5"/>
    <s v="Y"/>
    <n v="9294"/>
    <n v="0"/>
  </r>
  <r>
    <n v="75"/>
    <x v="2"/>
    <x v="1"/>
    <n v="2024.3"/>
    <x v="5"/>
    <x v="5"/>
    <n v="19395"/>
    <n v="20054"/>
    <x v="0"/>
    <n v="13513"/>
    <n v="25277"/>
    <n v="17168"/>
    <n v="113"/>
    <s v="Y"/>
    <n v="16193"/>
    <n v="116.8"/>
  </r>
  <r>
    <n v="76"/>
    <x v="2"/>
    <x v="1"/>
    <n v="2024.3"/>
    <x v="6"/>
    <x v="5"/>
    <n v="17799"/>
    <n v="0"/>
    <x v="1"/>
    <n v="16636"/>
    <n v="18962"/>
    <n v="17168"/>
    <n v="103.7"/>
    <s v="Y"/>
    <n v="17021"/>
    <n v="0"/>
  </r>
  <r>
    <n v="77"/>
    <x v="2"/>
    <x v="1"/>
    <n v="2024.4"/>
    <x v="6"/>
    <x v="6"/>
    <n v="11139"/>
    <n v="11517"/>
    <x v="0"/>
    <n v="7771"/>
    <n v="14507"/>
    <n v="10156"/>
    <n v="109.7"/>
    <s v="Y"/>
    <n v="9295"/>
    <n v="113.4"/>
  </r>
  <r>
    <n v="78"/>
    <x v="2"/>
    <x v="1"/>
    <n v="2024.4"/>
    <x v="7"/>
    <x v="6"/>
    <n v="10497"/>
    <n v="0"/>
    <x v="1"/>
    <n v="9797"/>
    <n v="11197"/>
    <n v="10156"/>
    <n v="103.4"/>
    <s v="Y"/>
    <n v="10045"/>
    <n v="0"/>
  </r>
  <r>
    <n v="79"/>
    <x v="2"/>
    <x v="1"/>
    <n v="2025.1"/>
    <x v="7"/>
    <x v="7"/>
    <n v="7758"/>
    <n v="8021"/>
    <x v="0"/>
    <n v="5413"/>
    <n v="10103"/>
    <n v="7060"/>
    <n v="109.9"/>
    <s v="Y"/>
    <n v="6473"/>
    <n v="113.6"/>
  </r>
  <r>
    <n v="80"/>
    <x v="2"/>
    <x v="1"/>
    <n v="2025.1"/>
    <x v="8"/>
    <x v="7"/>
    <n v="7237"/>
    <n v="0"/>
    <x v="1"/>
    <n v="6722"/>
    <n v="7752"/>
    <n v="7060"/>
    <n v="102.5"/>
    <s v="Y"/>
    <n v="6937"/>
    <n v="0"/>
  </r>
  <r>
    <n v="81"/>
    <x v="2"/>
    <x v="2"/>
    <n v="2024.2"/>
    <x v="4"/>
    <x v="4"/>
    <n v="8126"/>
    <n v="0"/>
    <x v="0"/>
    <n v="7783"/>
    <n v="8469"/>
    <n v="8031"/>
    <n v="101.2"/>
    <s v="Y"/>
    <n v="7519"/>
    <n v="0"/>
  </r>
  <r>
    <n v="82"/>
    <x v="2"/>
    <x v="2"/>
    <n v="2024.2"/>
    <x v="5"/>
    <x v="4"/>
    <n v="8106"/>
    <n v="0"/>
    <x v="1"/>
    <n v="7926"/>
    <n v="8286"/>
    <n v="8031"/>
    <n v="100.9"/>
    <s v="Y"/>
    <n v="7845"/>
    <n v="0"/>
  </r>
  <r>
    <n v="83"/>
    <x v="2"/>
    <x v="2"/>
    <n v="2024.3"/>
    <x v="5"/>
    <x v="5"/>
    <n v="9807"/>
    <n v="0"/>
    <x v="0"/>
    <n v="9328"/>
    <n v="10286"/>
    <n v="9483"/>
    <n v="103.4"/>
    <s v="Y"/>
    <n v="9089"/>
    <n v="0"/>
  </r>
  <r>
    <n v="84"/>
    <x v="2"/>
    <x v="2"/>
    <n v="2024.3"/>
    <x v="6"/>
    <x v="5"/>
    <n v="9669"/>
    <n v="0"/>
    <x v="1"/>
    <n v="9426"/>
    <n v="9912"/>
    <n v="9483"/>
    <n v="102"/>
    <s v="Y"/>
    <n v="9362"/>
    <n v="0"/>
  </r>
  <r>
    <n v="85"/>
    <x v="2"/>
    <x v="2"/>
    <n v="2024.4"/>
    <x v="6"/>
    <x v="6"/>
    <n v="6872"/>
    <n v="0"/>
    <x v="0"/>
    <n v="6516"/>
    <n v="7228"/>
    <n v="6677"/>
    <n v="102.9"/>
    <s v="Y"/>
    <n v="6378"/>
    <n v="0"/>
  </r>
  <r>
    <n v="86"/>
    <x v="2"/>
    <x v="2"/>
    <n v="2024.4"/>
    <x v="7"/>
    <x v="6"/>
    <n v="6788"/>
    <n v="0"/>
    <x v="1"/>
    <n v="6593"/>
    <n v="6983"/>
    <n v="6677"/>
    <n v="101.7"/>
    <s v="Y"/>
    <n v="6582"/>
    <n v="0"/>
  </r>
  <r>
    <n v="87"/>
    <x v="2"/>
    <x v="2"/>
    <n v="2025.1"/>
    <x v="7"/>
    <x v="7"/>
    <n v="6781"/>
    <n v="0"/>
    <x v="0"/>
    <n v="6369"/>
    <n v="7193"/>
    <n v="6622"/>
    <n v="102.4"/>
    <s v="Y"/>
    <n v="6312"/>
    <n v="0"/>
  </r>
  <r>
    <n v="88"/>
    <x v="2"/>
    <x v="2"/>
    <n v="2025.1"/>
    <x v="8"/>
    <x v="7"/>
    <n v="6713"/>
    <n v="0"/>
    <x v="1"/>
    <n v="6586"/>
    <n v="6840"/>
    <n v="6622"/>
    <n v="101.4"/>
    <s v="Y"/>
    <n v="6528"/>
    <n v="0"/>
  </r>
  <r>
    <n v="89"/>
    <x v="2"/>
    <x v="3"/>
    <n v="2023.2"/>
    <x v="0"/>
    <x v="0"/>
    <n v="111771"/>
    <n v="0"/>
    <x v="0"/>
    <n v="110229"/>
    <n v="113313"/>
    <n v="112174"/>
    <n v="99.6"/>
    <s v="Y"/>
    <n v="115004"/>
    <n v="0"/>
  </r>
  <r>
    <n v="90"/>
    <x v="2"/>
    <x v="3"/>
    <n v="2023.2"/>
    <x v="1"/>
    <x v="0"/>
    <n v="113345"/>
    <n v="0"/>
    <x v="1"/>
    <n v="112407"/>
    <n v="114283"/>
    <n v="112174"/>
    <n v="101"/>
    <s v="Y"/>
    <n v="115320"/>
    <n v="0"/>
  </r>
  <r>
    <n v="91"/>
    <x v="2"/>
    <x v="3"/>
    <n v="2023.3"/>
    <x v="1"/>
    <x v="1"/>
    <n v="115468"/>
    <n v="0"/>
    <x v="0"/>
    <n v="111470"/>
    <n v="119466"/>
    <n v="114868"/>
    <n v="100.5"/>
    <s v="Y"/>
    <n v="116937"/>
    <n v="0"/>
  </r>
  <r>
    <n v="92"/>
    <x v="2"/>
    <x v="3"/>
    <n v="2023.3"/>
    <x v="2"/>
    <x v="1"/>
    <n v="116782"/>
    <n v="0"/>
    <x v="1"/>
    <n v="115262"/>
    <n v="118302"/>
    <n v="114868"/>
    <n v="101.7"/>
    <s v="Y"/>
    <n v="117979"/>
    <n v="0"/>
  </r>
  <r>
    <n v="93"/>
    <x v="2"/>
    <x v="3"/>
    <n v="2023.4"/>
    <x v="2"/>
    <x v="2"/>
    <n v="113067"/>
    <n v="113328"/>
    <x v="0"/>
    <n v="109171"/>
    <n v="116963"/>
    <n v="111203"/>
    <n v="101.7"/>
    <s v="Y"/>
    <n v="114876"/>
    <n v="101.9"/>
  </r>
  <r>
    <n v="94"/>
    <x v="2"/>
    <x v="3"/>
    <n v="2023.4"/>
    <x v="3"/>
    <x v="2"/>
    <n v="113433"/>
    <n v="0"/>
    <x v="1"/>
    <n v="112314"/>
    <n v="114552"/>
    <n v="111203"/>
    <n v="102"/>
    <s v="Y"/>
    <n v="114440"/>
    <n v="0"/>
  </r>
  <r>
    <n v="95"/>
    <x v="2"/>
    <x v="3"/>
    <n v="2024.1"/>
    <x v="3"/>
    <x v="3"/>
    <n v="108475"/>
    <n v="108816"/>
    <x v="0"/>
    <n v="105124"/>
    <n v="111826"/>
    <n v="106559"/>
    <n v="101.8"/>
    <s v="Y"/>
    <n v="110477"/>
    <n v="102.1"/>
  </r>
  <r>
    <n v="96"/>
    <x v="2"/>
    <x v="3"/>
    <n v="2024.1"/>
    <x v="4"/>
    <x v="3"/>
    <n v="108539"/>
    <n v="0"/>
    <x v="1"/>
    <n v="107549"/>
    <n v="109529"/>
    <n v="106559"/>
    <n v="101.9"/>
    <s v="Y"/>
    <n v="109489"/>
    <n v="0"/>
  </r>
  <r>
    <n v="97"/>
    <x v="3"/>
    <x v="0"/>
    <n v="2023.2"/>
    <x v="0"/>
    <x v="0"/>
    <n v="368"/>
    <n v="0"/>
    <x v="0"/>
    <n v="263"/>
    <n v="473"/>
    <n v="318"/>
    <n v="115.7"/>
    <s v="Y"/>
    <n v="280"/>
    <n v="0"/>
  </r>
  <r>
    <n v="98"/>
    <x v="3"/>
    <x v="0"/>
    <n v="2023.2"/>
    <x v="1"/>
    <x v="0"/>
    <n v="331"/>
    <n v="0"/>
    <x v="1"/>
    <n v="293"/>
    <n v="369"/>
    <n v="318"/>
    <n v="104.1"/>
    <s v="Y"/>
    <n v="293"/>
    <n v="0"/>
  </r>
  <r>
    <n v="99"/>
    <x v="3"/>
    <x v="0"/>
    <n v="2023.3"/>
    <x v="1"/>
    <x v="1"/>
    <n v="330.93270819999998"/>
    <n v="342"/>
    <x v="0"/>
    <n v="242"/>
    <n v="420"/>
    <n v="320"/>
    <n v="103.4"/>
    <s v="Y"/>
    <n v="256"/>
    <n v="106.9"/>
  </r>
  <r>
    <n v="100"/>
    <x v="3"/>
    <x v="0"/>
    <n v="2023.3"/>
    <x v="2"/>
    <x v="1"/>
    <n v="325"/>
    <n v="0"/>
    <x v="1"/>
    <n v="289"/>
    <n v="361"/>
    <n v="320"/>
    <n v="101.6"/>
    <s v="Y"/>
    <n v="287"/>
    <n v="0"/>
  </r>
  <r>
    <n v="101"/>
    <x v="3"/>
    <x v="0"/>
    <n v="2023.4"/>
    <x v="2"/>
    <x v="2"/>
    <n v="291"/>
    <n v="0"/>
    <x v="0"/>
    <n v="227"/>
    <n v="355"/>
    <n v="269"/>
    <n v="108.2"/>
    <s v="Y"/>
    <n v="214"/>
    <n v="0"/>
  </r>
  <r>
    <n v="102"/>
    <x v="3"/>
    <x v="0"/>
    <n v="2023.4"/>
    <x v="3"/>
    <x v="2"/>
    <n v="280"/>
    <n v="0"/>
    <x v="1"/>
    <n v="248"/>
    <n v="312"/>
    <n v="269"/>
    <n v="104.1"/>
    <s v="Y"/>
    <n v="248"/>
    <n v="0"/>
  </r>
  <r>
    <n v="103"/>
    <x v="3"/>
    <x v="0"/>
    <n v="2024.1"/>
    <x v="3"/>
    <x v="3"/>
    <n v="376"/>
    <n v="0"/>
    <x v="0"/>
    <n v="293"/>
    <n v="459"/>
    <n v="338"/>
    <n v="111.2"/>
    <s v="Y"/>
    <n v="277"/>
    <n v="0"/>
  </r>
  <r>
    <n v="104"/>
    <x v="3"/>
    <x v="0"/>
    <n v="2024.1"/>
    <x v="4"/>
    <x v="3"/>
    <n v="342"/>
    <n v="0"/>
    <x v="1"/>
    <n v="304"/>
    <n v="380"/>
    <n v="338"/>
    <n v="101.2"/>
    <s v="Y"/>
    <n v="305"/>
    <n v="0"/>
  </r>
  <r>
    <n v="105"/>
    <x v="3"/>
    <x v="1"/>
    <n v="2024.2"/>
    <x v="4"/>
    <x v="4"/>
    <n v="296"/>
    <n v="0"/>
    <x v="0"/>
    <n v="283"/>
    <n v="309"/>
    <n v="302"/>
    <n v="98"/>
    <s v="Y"/>
    <n v="290"/>
    <n v="0"/>
  </r>
  <r>
    <n v="106"/>
    <x v="3"/>
    <x v="1"/>
    <n v="2024.2"/>
    <x v="5"/>
    <x v="4"/>
    <n v="295"/>
    <n v="0"/>
    <x v="1"/>
    <n v="293"/>
    <n v="297"/>
    <n v="302"/>
    <n v="97.7"/>
    <s v="Y"/>
    <n v="294"/>
    <n v="0"/>
  </r>
  <r>
    <n v="107"/>
    <x v="3"/>
    <x v="1"/>
    <n v="2024.3"/>
    <x v="5"/>
    <x v="5"/>
    <n v="728"/>
    <n v="0"/>
    <x v="0"/>
    <n v="645"/>
    <n v="811"/>
    <n v="798"/>
    <n v="91.2"/>
    <s v="Y"/>
    <n v="704"/>
    <n v="0"/>
  </r>
  <r>
    <n v="108"/>
    <x v="3"/>
    <x v="1"/>
    <n v="2024.3"/>
    <x v="6"/>
    <x v="5"/>
    <n v="761"/>
    <n v="0"/>
    <x v="1"/>
    <n v="755"/>
    <n v="767"/>
    <n v="798"/>
    <n v="95.4"/>
    <s v="Y"/>
    <n v="758"/>
    <n v="0"/>
  </r>
  <r>
    <n v="109"/>
    <x v="3"/>
    <x v="1"/>
    <n v="2024.4"/>
    <x v="6"/>
    <x v="6"/>
    <n v="562"/>
    <n v="0"/>
    <x v="0"/>
    <n v="499"/>
    <n v="625"/>
    <n v="611"/>
    <n v="92"/>
    <s v="Y"/>
    <n v="543"/>
    <n v="0"/>
  </r>
  <r>
    <n v="110"/>
    <x v="3"/>
    <x v="1"/>
    <n v="2024.4"/>
    <x v="7"/>
    <x v="6"/>
    <n v="614"/>
    <n v="0"/>
    <x v="1"/>
    <n v="610"/>
    <n v="618"/>
    <n v="611"/>
    <n v="100.5"/>
    <s v="Y"/>
    <n v="611"/>
    <n v="0"/>
  </r>
  <r>
    <n v="111"/>
    <x v="3"/>
    <x v="1"/>
    <n v="2025.1"/>
    <x v="7"/>
    <x v="7"/>
    <n v="451"/>
    <n v="0"/>
    <x v="0"/>
    <n v="402"/>
    <n v="500"/>
    <n v="438"/>
    <n v="103"/>
    <s v="Y"/>
    <n v="435"/>
    <n v="0"/>
  </r>
  <r>
    <n v="112"/>
    <x v="3"/>
    <x v="1"/>
    <n v="2025.1"/>
    <x v="8"/>
    <x v="7"/>
    <n v="440"/>
    <n v="0"/>
    <x v="1"/>
    <n v="431"/>
    <n v="449"/>
    <n v="438"/>
    <n v="100.5"/>
    <s v="Y"/>
    <n v="437"/>
    <n v="0"/>
  </r>
  <r>
    <n v="113"/>
    <x v="3"/>
    <x v="2"/>
    <n v="2024.2"/>
    <x v="4"/>
    <x v="4"/>
    <n v="412"/>
    <n v="0"/>
    <x v="0"/>
    <n v="369"/>
    <n v="455"/>
    <n v="405"/>
    <n v="101.7"/>
    <s v="Y"/>
    <n v="386"/>
    <n v="0"/>
  </r>
  <r>
    <n v="114"/>
    <x v="3"/>
    <x v="2"/>
    <n v="2024.2"/>
    <x v="5"/>
    <x v="4"/>
    <n v="416"/>
    <n v="0"/>
    <x v="1"/>
    <n v="393"/>
    <n v="439"/>
    <n v="405"/>
    <n v="102.7"/>
    <s v="Y"/>
    <n v="404"/>
    <n v="0"/>
  </r>
  <r>
    <n v="115"/>
    <x v="3"/>
    <x v="2"/>
    <n v="2024.3"/>
    <x v="5"/>
    <x v="5"/>
    <n v="203"/>
    <n v="0"/>
    <x v="0"/>
    <n v="184"/>
    <n v="222"/>
    <n v="198"/>
    <n v="102.5"/>
    <s v="Y"/>
    <n v="192"/>
    <n v="0"/>
  </r>
  <r>
    <n v="116"/>
    <x v="3"/>
    <x v="2"/>
    <n v="2024.3"/>
    <x v="6"/>
    <x v="5"/>
    <n v="201"/>
    <n v="0"/>
    <x v="1"/>
    <n v="186"/>
    <n v="216"/>
    <n v="198"/>
    <n v="101.5"/>
    <s v="Y"/>
    <n v="195"/>
    <n v="0"/>
  </r>
  <r>
    <n v="117"/>
    <x v="3"/>
    <x v="2"/>
    <n v="2024.4"/>
    <x v="6"/>
    <x v="6"/>
    <n v="218"/>
    <n v="0"/>
    <x v="0"/>
    <n v="193"/>
    <n v="243"/>
    <n v="213"/>
    <n v="102.3"/>
    <s v="Y"/>
    <n v="205"/>
    <n v="0"/>
  </r>
  <r>
    <n v="118"/>
    <x v="3"/>
    <x v="2"/>
    <n v="2024.4"/>
    <x v="7"/>
    <x v="6"/>
    <n v="215"/>
    <n v="0"/>
    <x v="1"/>
    <n v="198"/>
    <n v="232"/>
    <n v="213"/>
    <n v="100.9"/>
    <s v="Y"/>
    <n v="208"/>
    <n v="0"/>
  </r>
  <r>
    <n v="119"/>
    <x v="3"/>
    <x v="2"/>
    <n v="2025.1"/>
    <x v="7"/>
    <x v="7"/>
    <n v="216"/>
    <n v="0"/>
    <x v="0"/>
    <n v="191"/>
    <n v="241"/>
    <n v="211"/>
    <n v="102.4"/>
    <s v="Y"/>
    <n v="202"/>
    <n v="0"/>
  </r>
  <r>
    <n v="120"/>
    <x v="3"/>
    <x v="2"/>
    <n v="2025.1"/>
    <x v="8"/>
    <x v="7"/>
    <n v="214"/>
    <n v="0"/>
    <x v="1"/>
    <n v="198"/>
    <n v="230"/>
    <n v="211"/>
    <n v="101.4"/>
    <s v="Y"/>
    <n v="208"/>
    <n v="0"/>
  </r>
  <r>
    <n v="121"/>
    <x v="3"/>
    <x v="3"/>
    <n v="2023.2"/>
    <x v="0"/>
    <x v="0"/>
    <n v="3109"/>
    <n v="0"/>
    <x v="0"/>
    <n v="2986"/>
    <n v="3232"/>
    <n v="3163"/>
    <n v="98.3"/>
    <s v="Y"/>
    <n v="3311"/>
    <n v="0"/>
  </r>
  <r>
    <n v="122"/>
    <x v="3"/>
    <x v="3"/>
    <n v="2023.2"/>
    <x v="1"/>
    <x v="0"/>
    <n v="3184"/>
    <n v="0"/>
    <x v="1"/>
    <n v="3132"/>
    <n v="3236"/>
    <n v="3163"/>
    <n v="100.7"/>
    <s v="Y"/>
    <n v="3279"/>
    <n v="0"/>
  </r>
  <r>
    <n v="123"/>
    <x v="3"/>
    <x v="3"/>
    <n v="2023.3"/>
    <x v="1"/>
    <x v="1"/>
    <n v="3520.0672918"/>
    <n v="3509"/>
    <x v="0"/>
    <n v="3410"/>
    <n v="3630"/>
    <n v="3611"/>
    <n v="97.5"/>
    <s v="Y"/>
    <n v="3687"/>
    <n v="97.2"/>
  </r>
  <r>
    <n v="124"/>
    <x v="3"/>
    <x v="3"/>
    <n v="2023.3"/>
    <x v="2"/>
    <x v="1"/>
    <n v="3648"/>
    <n v="0"/>
    <x v="1"/>
    <n v="3600"/>
    <n v="3696"/>
    <n v="3611"/>
    <n v="101"/>
    <s v="Y"/>
    <n v="3732"/>
    <n v="0"/>
  </r>
  <r>
    <n v="125"/>
    <x v="3"/>
    <x v="3"/>
    <n v="2023.4"/>
    <x v="2"/>
    <x v="2"/>
    <n v="3759"/>
    <n v="0"/>
    <x v="0"/>
    <n v="3673"/>
    <n v="3845"/>
    <n v="3751"/>
    <n v="100.2"/>
    <s v="Y"/>
    <n v="3922"/>
    <n v="0"/>
  </r>
  <r>
    <n v="126"/>
    <x v="3"/>
    <x v="3"/>
    <n v="2023.4"/>
    <x v="3"/>
    <x v="2"/>
    <n v="3798"/>
    <n v="0"/>
    <x v="1"/>
    <n v="3753"/>
    <n v="3843"/>
    <n v="3751"/>
    <n v="101.3"/>
    <s v="Y"/>
    <n v="3867"/>
    <n v="0"/>
  </r>
  <r>
    <n v="127"/>
    <x v="3"/>
    <x v="3"/>
    <n v="2024.1"/>
    <x v="3"/>
    <x v="3"/>
    <n v="3702"/>
    <n v="0"/>
    <x v="0"/>
    <n v="3604"/>
    <n v="3800"/>
    <n v="3690"/>
    <n v="100.3"/>
    <s v="Y"/>
    <n v="3873"/>
    <n v="0"/>
  </r>
  <r>
    <n v="128"/>
    <x v="3"/>
    <x v="3"/>
    <n v="2024.1"/>
    <x v="4"/>
    <x v="3"/>
    <n v="3726"/>
    <n v="0"/>
    <x v="1"/>
    <n v="3679"/>
    <n v="3773"/>
    <n v="3690"/>
    <n v="101"/>
    <s v="Y"/>
    <n v="3799"/>
    <n v="0"/>
  </r>
  <r>
    <n v="129"/>
    <x v="4"/>
    <x v="0"/>
    <n v="2023.2"/>
    <x v="0"/>
    <x v="0"/>
    <n v="6901"/>
    <n v="0"/>
    <x v="0"/>
    <n v="6469"/>
    <n v="7333"/>
    <n v="8387"/>
    <n v="82.3"/>
    <s v="N"/>
    <n v="6060"/>
    <n v="0"/>
  </r>
  <r>
    <n v="130"/>
    <x v="4"/>
    <x v="0"/>
    <n v="2023.2"/>
    <x v="1"/>
    <x v="0"/>
    <n v="7879"/>
    <n v="0"/>
    <x v="1"/>
    <n v="7748"/>
    <n v="8010"/>
    <n v="8387"/>
    <n v="93.9"/>
    <s v="N"/>
    <n v="7456"/>
    <n v="0"/>
  </r>
  <r>
    <n v="131"/>
    <x v="4"/>
    <x v="0"/>
    <n v="2023.3"/>
    <x v="1"/>
    <x v="1"/>
    <n v="7558"/>
    <n v="0"/>
    <x v="0"/>
    <n v="7045"/>
    <n v="8071"/>
    <n v="8444"/>
    <n v="89.5"/>
    <s v="N"/>
    <n v="6620"/>
    <n v="0"/>
  </r>
  <r>
    <n v="132"/>
    <x v="4"/>
    <x v="0"/>
    <n v="2023.3"/>
    <x v="2"/>
    <x v="1"/>
    <n v="8204"/>
    <n v="0"/>
    <x v="1"/>
    <n v="8067"/>
    <n v="8341"/>
    <n v="8444"/>
    <n v="97.2"/>
    <s v="N"/>
    <n v="7761"/>
    <n v="0"/>
  </r>
  <r>
    <n v="133"/>
    <x v="4"/>
    <x v="0"/>
    <n v="2023.4"/>
    <x v="2"/>
    <x v="2"/>
    <n v="7239"/>
    <n v="0"/>
    <x v="0"/>
    <n v="6761"/>
    <n v="7717"/>
    <n v="7634"/>
    <n v="94.8"/>
    <s v="Y"/>
    <n v="6314"/>
    <n v="0"/>
  </r>
  <r>
    <n v="134"/>
    <x v="4"/>
    <x v="0"/>
    <n v="2023.4"/>
    <x v="3"/>
    <x v="2"/>
    <n v="7371"/>
    <n v="0"/>
    <x v="1"/>
    <n v="7267"/>
    <n v="7475"/>
    <n v="7634"/>
    <n v="96.6"/>
    <s v="Y"/>
    <n v="6961"/>
    <n v="0"/>
  </r>
  <r>
    <n v="135"/>
    <x v="4"/>
    <x v="0"/>
    <n v="2024.1"/>
    <x v="3"/>
    <x v="3"/>
    <n v="7174"/>
    <n v="0"/>
    <x v="0"/>
    <n v="6767"/>
    <n v="7581"/>
    <n v="7416"/>
    <n v="96.7"/>
    <s v="Y"/>
    <n v="6215"/>
    <n v="0"/>
  </r>
  <r>
    <n v="136"/>
    <x v="4"/>
    <x v="0"/>
    <n v="2024.1"/>
    <x v="4"/>
    <x v="3"/>
    <n v="7421"/>
    <n v="0"/>
    <x v="1"/>
    <n v="7263"/>
    <n v="7579"/>
    <n v="7416"/>
    <n v="100.1"/>
    <s v="Y"/>
    <n v="6993"/>
    <n v="0"/>
  </r>
  <r>
    <n v="137"/>
    <x v="4"/>
    <x v="1"/>
    <n v="2024.2"/>
    <x v="4"/>
    <x v="4"/>
    <n v="9445"/>
    <n v="0"/>
    <x v="0"/>
    <n v="8072"/>
    <n v="10818"/>
    <n v="8903"/>
    <n v="106.1"/>
    <s v="Y"/>
    <n v="8496"/>
    <n v="0"/>
  </r>
  <r>
    <n v="138"/>
    <x v="4"/>
    <x v="1"/>
    <n v="2024.2"/>
    <x v="5"/>
    <x v="4"/>
    <n v="9014"/>
    <n v="0"/>
    <x v="1"/>
    <n v="8792"/>
    <n v="9236"/>
    <n v="8903"/>
    <n v="101.2"/>
    <s v="Y"/>
    <n v="8860"/>
    <n v="0"/>
  </r>
  <r>
    <n v="139"/>
    <x v="4"/>
    <x v="1"/>
    <n v="2024.3"/>
    <x v="5"/>
    <x v="5"/>
    <n v="15314"/>
    <n v="0"/>
    <x v="0"/>
    <n v="13082"/>
    <n v="17546"/>
    <n v="14369"/>
    <n v="106.6"/>
    <s v="Y"/>
    <n v="13777"/>
    <n v="0"/>
  </r>
  <r>
    <n v="140"/>
    <x v="4"/>
    <x v="1"/>
    <n v="2024.3"/>
    <x v="6"/>
    <x v="5"/>
    <n v="14556"/>
    <n v="0"/>
    <x v="1"/>
    <n v="14170"/>
    <n v="14942"/>
    <n v="14369"/>
    <n v="101.3"/>
    <s v="Y"/>
    <n v="14316"/>
    <n v="0"/>
  </r>
  <r>
    <n v="141"/>
    <x v="4"/>
    <x v="1"/>
    <n v="2024.4"/>
    <x v="6"/>
    <x v="6"/>
    <n v="12684"/>
    <n v="0"/>
    <x v="0"/>
    <n v="10762"/>
    <n v="14606"/>
    <n v="12153"/>
    <n v="104.4"/>
    <s v="Y"/>
    <n v="11437"/>
    <n v="0"/>
  </r>
  <r>
    <n v="142"/>
    <x v="4"/>
    <x v="1"/>
    <n v="2024.4"/>
    <x v="7"/>
    <x v="6"/>
    <n v="12305"/>
    <n v="0"/>
    <x v="1"/>
    <n v="11952"/>
    <n v="12658"/>
    <n v="12153"/>
    <n v="101.3"/>
    <s v="Y"/>
    <n v="12118"/>
    <n v="0"/>
  </r>
  <r>
    <n v="143"/>
    <x v="4"/>
    <x v="1"/>
    <n v="2025.1"/>
    <x v="7"/>
    <x v="7"/>
    <n v="8640"/>
    <n v="0"/>
    <x v="0"/>
    <n v="7246"/>
    <n v="10034"/>
    <n v="8226"/>
    <n v="105"/>
    <s v="Y"/>
    <n v="7823"/>
    <n v="0"/>
  </r>
  <r>
    <n v="144"/>
    <x v="4"/>
    <x v="1"/>
    <n v="2025.1"/>
    <x v="8"/>
    <x v="7"/>
    <n v="8256"/>
    <n v="0"/>
    <x v="1"/>
    <n v="8008"/>
    <n v="8504"/>
    <n v="8226"/>
    <n v="100.4"/>
    <s v="Y"/>
    <n v="8143"/>
    <n v="0"/>
  </r>
  <r>
    <n v="145"/>
    <x v="4"/>
    <x v="2"/>
    <n v="2024.2"/>
    <x v="4"/>
    <x v="4"/>
    <n v="7617"/>
    <n v="0"/>
    <x v="0"/>
    <n v="7474"/>
    <n v="7760"/>
    <n v="7488"/>
    <n v="101.7"/>
    <s v="Y"/>
    <n v="7176"/>
    <n v="0"/>
  </r>
  <r>
    <n v="146"/>
    <x v="4"/>
    <x v="2"/>
    <n v="2024.2"/>
    <x v="5"/>
    <x v="4"/>
    <n v="7572"/>
    <n v="0"/>
    <x v="1"/>
    <n v="7514"/>
    <n v="7630"/>
    <n v="7488"/>
    <n v="101.1"/>
    <s v="Y"/>
    <n v="7372"/>
    <n v="0"/>
  </r>
  <r>
    <n v="147"/>
    <x v="4"/>
    <x v="2"/>
    <n v="2024.3"/>
    <x v="5"/>
    <x v="5"/>
    <n v="5898"/>
    <n v="0"/>
    <x v="0"/>
    <n v="5776"/>
    <n v="6020"/>
    <n v="5840"/>
    <n v="101"/>
    <s v="Y"/>
    <n v="5549"/>
    <n v="0"/>
  </r>
  <r>
    <n v="148"/>
    <x v="4"/>
    <x v="2"/>
    <n v="2024.3"/>
    <x v="6"/>
    <x v="5"/>
    <n v="5907"/>
    <n v="0"/>
    <x v="1"/>
    <n v="5869"/>
    <n v="5945"/>
    <n v="5840"/>
    <n v="101.1"/>
    <s v="Y"/>
    <n v="5741"/>
    <n v="0"/>
  </r>
  <r>
    <n v="149"/>
    <x v="4"/>
    <x v="2"/>
    <n v="2024.4"/>
    <x v="6"/>
    <x v="6"/>
    <n v="6460"/>
    <n v="0"/>
    <x v="0"/>
    <n v="6340"/>
    <n v="6580"/>
    <n v="6249"/>
    <n v="103.4"/>
    <s v="N"/>
    <n v="6047"/>
    <n v="0"/>
  </r>
  <r>
    <n v="150"/>
    <x v="4"/>
    <x v="2"/>
    <n v="2024.4"/>
    <x v="7"/>
    <x v="6"/>
    <n v="6376"/>
    <n v="0"/>
    <x v="1"/>
    <n v="6339"/>
    <n v="6413"/>
    <n v="6249"/>
    <n v="102"/>
    <s v="N"/>
    <n v="6191"/>
    <n v="0"/>
  </r>
  <r>
    <n v="151"/>
    <x v="4"/>
    <x v="2"/>
    <n v="2025.1"/>
    <x v="7"/>
    <x v="7"/>
    <n v="6187"/>
    <n v="0"/>
    <x v="0"/>
    <n v="6067"/>
    <n v="6307"/>
    <n v="6039"/>
    <n v="102.5"/>
    <s v="N"/>
    <n v="5785"/>
    <n v="0"/>
  </r>
  <r>
    <n v="152"/>
    <x v="4"/>
    <x v="2"/>
    <n v="2025.1"/>
    <x v="8"/>
    <x v="7"/>
    <n v="6136"/>
    <n v="0"/>
    <x v="1"/>
    <n v="6062"/>
    <n v="6210"/>
    <n v="6039"/>
    <n v="101.6"/>
    <s v="N"/>
    <n v="5960"/>
    <n v="0"/>
  </r>
  <r>
    <n v="153"/>
    <x v="4"/>
    <x v="3"/>
    <n v="2023.2"/>
    <x v="0"/>
    <x v="0"/>
    <n v="93453"/>
    <n v="0"/>
    <x v="0"/>
    <n v="92728"/>
    <n v="94178"/>
    <n v="90597"/>
    <n v="103.2"/>
    <s v="N"/>
    <n v="93974"/>
    <n v="0"/>
  </r>
  <r>
    <n v="154"/>
    <x v="4"/>
    <x v="3"/>
    <n v="2023.2"/>
    <x v="1"/>
    <x v="0"/>
    <n v="92248"/>
    <n v="0"/>
    <x v="1"/>
    <n v="91930"/>
    <n v="92566"/>
    <n v="90597"/>
    <n v="101.8"/>
    <s v="N"/>
    <n v="92446"/>
    <n v="0"/>
  </r>
  <r>
    <n v="155"/>
    <x v="4"/>
    <x v="3"/>
    <n v="2023.3"/>
    <x v="1"/>
    <x v="1"/>
    <n v="95689"/>
    <n v="0"/>
    <x v="0"/>
    <n v="93819"/>
    <n v="97559"/>
    <n v="92913"/>
    <n v="103"/>
    <s v="N"/>
    <n v="95399"/>
    <n v="0"/>
  </r>
  <r>
    <n v="156"/>
    <x v="4"/>
    <x v="3"/>
    <n v="2023.3"/>
    <x v="2"/>
    <x v="1"/>
    <n v="94880"/>
    <n v="0"/>
    <x v="1"/>
    <n v="94370"/>
    <n v="95390"/>
    <n v="92913"/>
    <n v="102.1"/>
    <s v="N"/>
    <n v="94698"/>
    <n v="0"/>
  </r>
  <r>
    <n v="157"/>
    <x v="4"/>
    <x v="3"/>
    <n v="2023.4"/>
    <x v="2"/>
    <x v="2"/>
    <n v="93088"/>
    <n v="0"/>
    <x v="0"/>
    <n v="91157"/>
    <n v="95019"/>
    <n v="89874"/>
    <n v="103.6"/>
    <s v="N"/>
    <n v="92528"/>
    <n v="0"/>
  </r>
  <r>
    <n v="158"/>
    <x v="4"/>
    <x v="3"/>
    <n v="2023.4"/>
    <x v="3"/>
    <x v="2"/>
    <n v="92123"/>
    <n v="0"/>
    <x v="1"/>
    <n v="91738"/>
    <n v="92508"/>
    <n v="89874"/>
    <n v="102.5"/>
    <s v="N"/>
    <n v="91697"/>
    <n v="0"/>
  </r>
  <r>
    <n v="159"/>
    <x v="4"/>
    <x v="3"/>
    <n v="2024.1"/>
    <x v="3"/>
    <x v="3"/>
    <n v="90621"/>
    <n v="0"/>
    <x v="0"/>
    <n v="88858"/>
    <n v="92384"/>
    <n v="87132"/>
    <n v="104"/>
    <s v="N"/>
    <n v="89784"/>
    <n v="0"/>
  </r>
  <r>
    <n v="160"/>
    <x v="4"/>
    <x v="3"/>
    <n v="2024.1"/>
    <x v="4"/>
    <x v="3"/>
    <n v="89030"/>
    <n v="0"/>
    <x v="1"/>
    <n v="88634"/>
    <n v="89426"/>
    <n v="87132"/>
    <n v="102.2"/>
    <s v="N"/>
    <n v="88511"/>
    <n v="0"/>
  </r>
  <r>
    <n v="161"/>
    <x v="5"/>
    <x v="0"/>
    <n v="2023.2"/>
    <x v="0"/>
    <x v="0"/>
    <n v="1651"/>
    <n v="0"/>
    <x v="0"/>
    <n v="1457"/>
    <n v="1845"/>
    <n v="1737"/>
    <n v="95"/>
    <s v="Y"/>
    <n v="1311"/>
    <n v="0"/>
  </r>
  <r>
    <n v="162"/>
    <x v="5"/>
    <x v="0"/>
    <n v="2023.2"/>
    <x v="1"/>
    <x v="0"/>
    <n v="1707"/>
    <n v="0"/>
    <x v="1"/>
    <n v="1623"/>
    <n v="1791"/>
    <n v="1737"/>
    <n v="98.3"/>
    <s v="Y"/>
    <n v="1507"/>
    <n v="0"/>
  </r>
  <r>
    <n v="163"/>
    <x v="5"/>
    <x v="0"/>
    <n v="2023.3"/>
    <x v="1"/>
    <x v="1"/>
    <n v="1776"/>
    <n v="0"/>
    <x v="0"/>
    <n v="1574"/>
    <n v="1978"/>
    <n v="1718"/>
    <n v="103.4"/>
    <s v="Y"/>
    <n v="1403"/>
    <n v="0"/>
  </r>
  <r>
    <n v="164"/>
    <x v="5"/>
    <x v="0"/>
    <n v="2023.3"/>
    <x v="2"/>
    <x v="1"/>
    <n v="1763"/>
    <n v="0"/>
    <x v="1"/>
    <n v="1681"/>
    <n v="1845"/>
    <n v="1718"/>
    <n v="102.6"/>
    <s v="Y"/>
    <n v="1555"/>
    <n v="0"/>
  </r>
  <r>
    <n v="165"/>
    <x v="5"/>
    <x v="0"/>
    <n v="2023.4"/>
    <x v="2"/>
    <x v="2"/>
    <n v="1665"/>
    <n v="0"/>
    <x v="0"/>
    <n v="1487"/>
    <n v="1843"/>
    <n v="1510"/>
    <n v="110.3"/>
    <s v="Y"/>
    <n v="1307"/>
    <n v="0"/>
  </r>
  <r>
    <n v="166"/>
    <x v="5"/>
    <x v="0"/>
    <n v="2023.4"/>
    <x v="3"/>
    <x v="2"/>
    <n v="1563"/>
    <n v="0"/>
    <x v="1"/>
    <n v="1473"/>
    <n v="1653"/>
    <n v="1510"/>
    <n v="103.5"/>
    <s v="Y"/>
    <n v="1384"/>
    <n v="0"/>
  </r>
  <r>
    <n v="167"/>
    <x v="5"/>
    <x v="0"/>
    <n v="2024.1"/>
    <x v="3"/>
    <x v="3"/>
    <n v="1386"/>
    <n v="0"/>
    <x v="0"/>
    <n v="1232"/>
    <n v="1540"/>
    <n v="1271"/>
    <n v="109"/>
    <s v="Y"/>
    <n v="1089"/>
    <n v="0"/>
  </r>
  <r>
    <n v="168"/>
    <x v="5"/>
    <x v="0"/>
    <n v="2024.1"/>
    <x v="4"/>
    <x v="3"/>
    <n v="1317"/>
    <n v="0"/>
    <x v="1"/>
    <n v="1243"/>
    <n v="1391"/>
    <n v="1271"/>
    <n v="103.6"/>
    <s v="Y"/>
    <n v="1164"/>
    <n v="0"/>
  </r>
  <r>
    <n v="169"/>
    <x v="5"/>
    <x v="1"/>
    <n v="2024.2"/>
    <x v="4"/>
    <x v="4"/>
    <n v="1983"/>
    <n v="2081"/>
    <x v="0"/>
    <n v="1274"/>
    <n v="2692"/>
    <n v="1914"/>
    <n v="103.6"/>
    <s v="Y"/>
    <n v="1844"/>
    <n v="108.7"/>
  </r>
  <r>
    <n v="170"/>
    <x v="5"/>
    <x v="1"/>
    <n v="2024.2"/>
    <x v="5"/>
    <x v="4"/>
    <n v="1932"/>
    <n v="0"/>
    <x v="1"/>
    <n v="1894"/>
    <n v="1970"/>
    <n v="1914"/>
    <n v="100.9"/>
    <s v="Y"/>
    <n v="1909"/>
    <n v="0"/>
  </r>
  <r>
    <n v="171"/>
    <x v="5"/>
    <x v="1"/>
    <n v="2024.3"/>
    <x v="5"/>
    <x v="5"/>
    <n v="3297"/>
    <n v="3461"/>
    <x v="0"/>
    <n v="2103"/>
    <n v="4491"/>
    <n v="3153"/>
    <n v="104.6"/>
    <s v="Y"/>
    <n v="3081"/>
    <n v="109.8"/>
  </r>
  <r>
    <n v="172"/>
    <x v="5"/>
    <x v="1"/>
    <n v="2024.3"/>
    <x v="6"/>
    <x v="5"/>
    <n v="3172"/>
    <n v="0"/>
    <x v="1"/>
    <n v="3103"/>
    <n v="3241"/>
    <n v="3153"/>
    <n v="100.6"/>
    <s v="Y"/>
    <n v="3139"/>
    <n v="0"/>
  </r>
  <r>
    <n v="173"/>
    <x v="5"/>
    <x v="1"/>
    <n v="2024.4"/>
    <x v="6"/>
    <x v="6"/>
    <n v="2691"/>
    <n v="2830"/>
    <x v="0"/>
    <n v="1675"/>
    <n v="3707"/>
    <n v="2686"/>
    <n v="100.2"/>
    <s v="Y"/>
    <n v="2545"/>
    <n v="105.4"/>
  </r>
  <r>
    <n v="174"/>
    <x v="5"/>
    <x v="1"/>
    <n v="2024.4"/>
    <x v="7"/>
    <x v="6"/>
    <n v="2685"/>
    <n v="0"/>
    <x v="1"/>
    <n v="2635"/>
    <n v="2735"/>
    <n v="2686"/>
    <n v="100"/>
    <s v="Y"/>
    <n v="2665"/>
    <n v="0"/>
  </r>
  <r>
    <n v="175"/>
    <x v="5"/>
    <x v="1"/>
    <n v="2025.1"/>
    <x v="7"/>
    <x v="7"/>
    <n v="1570"/>
    <n v="1654"/>
    <x v="0"/>
    <n v="965"/>
    <n v="2175"/>
    <n v="1579"/>
    <n v="99.4"/>
    <s v="Y"/>
    <n v="1502"/>
    <n v="104.7"/>
  </r>
  <r>
    <n v="176"/>
    <x v="5"/>
    <x v="1"/>
    <n v="2025.1"/>
    <x v="8"/>
    <x v="7"/>
    <n v="1583"/>
    <n v="0"/>
    <x v="1"/>
    <n v="1554"/>
    <n v="1612"/>
    <n v="1579"/>
    <n v="100.3"/>
    <s v="Y"/>
    <n v="1573"/>
    <n v="0"/>
  </r>
  <r>
    <n v="177"/>
    <x v="5"/>
    <x v="2"/>
    <n v="2024.2"/>
    <x v="4"/>
    <x v="4"/>
    <n v="2236"/>
    <n v="0"/>
    <x v="0"/>
    <n v="2087"/>
    <n v="2385"/>
    <n v="2198"/>
    <n v="101.7"/>
    <s v="Y"/>
    <n v="1928"/>
    <n v="0"/>
  </r>
  <r>
    <n v="178"/>
    <x v="5"/>
    <x v="2"/>
    <n v="2024.2"/>
    <x v="5"/>
    <x v="4"/>
    <n v="2285"/>
    <n v="0"/>
    <x v="1"/>
    <n v="2185"/>
    <n v="2385"/>
    <n v="2198"/>
    <n v="104"/>
    <s v="Y"/>
    <n v="2107"/>
    <n v="0"/>
  </r>
  <r>
    <n v="179"/>
    <x v="5"/>
    <x v="2"/>
    <n v="2024.3"/>
    <x v="5"/>
    <x v="5"/>
    <n v="1721"/>
    <n v="0"/>
    <x v="0"/>
    <n v="1605"/>
    <n v="1837"/>
    <n v="1573"/>
    <n v="109.4"/>
    <s v="N"/>
    <n v="1473"/>
    <n v="0"/>
  </r>
  <r>
    <n v="180"/>
    <x v="5"/>
    <x v="2"/>
    <n v="2024.3"/>
    <x v="6"/>
    <x v="5"/>
    <n v="1663"/>
    <n v="0"/>
    <x v="1"/>
    <n v="1593"/>
    <n v="1733"/>
    <n v="1573"/>
    <n v="105.7"/>
    <s v="N"/>
    <n v="1528"/>
    <n v="0"/>
  </r>
  <r>
    <n v="181"/>
    <x v="5"/>
    <x v="2"/>
    <n v="2024.4"/>
    <x v="6"/>
    <x v="6"/>
    <n v="1256"/>
    <n v="0"/>
    <x v="0"/>
    <n v="1182"/>
    <n v="1330"/>
    <n v="1169"/>
    <n v="107.4"/>
    <s v="N"/>
    <n v="1067"/>
    <n v="0"/>
  </r>
  <r>
    <n v="182"/>
    <x v="5"/>
    <x v="2"/>
    <n v="2024.4"/>
    <x v="7"/>
    <x v="6"/>
    <n v="1224"/>
    <n v="0"/>
    <x v="1"/>
    <n v="1181"/>
    <n v="1267"/>
    <n v="1169"/>
    <n v="104.7"/>
    <s v="N"/>
    <n v="1120"/>
    <n v="0"/>
  </r>
  <r>
    <n v="183"/>
    <x v="5"/>
    <x v="2"/>
    <n v="2025.1"/>
    <x v="7"/>
    <x v="7"/>
    <n v="1316"/>
    <n v="0"/>
    <x v="0"/>
    <n v="1253"/>
    <n v="1379"/>
    <n v="1212"/>
    <n v="108.6"/>
    <s v="N"/>
    <n v="1109"/>
    <n v="0"/>
  </r>
  <r>
    <n v="184"/>
    <x v="5"/>
    <x v="2"/>
    <n v="2025.1"/>
    <x v="8"/>
    <x v="7"/>
    <n v="1271"/>
    <n v="0"/>
    <x v="1"/>
    <n v="1211"/>
    <n v="1331"/>
    <n v="1212"/>
    <n v="104.9"/>
    <s v="N"/>
    <n v="1169"/>
    <n v="0"/>
  </r>
  <r>
    <n v="185"/>
    <x v="5"/>
    <x v="3"/>
    <n v="2023.2"/>
    <x v="0"/>
    <x v="0"/>
    <n v="29380"/>
    <n v="0"/>
    <x v="0"/>
    <n v="28992"/>
    <n v="29768"/>
    <n v="28140"/>
    <n v="104.4"/>
    <s v="N"/>
    <n v="29655"/>
    <n v="0"/>
  </r>
  <r>
    <n v="186"/>
    <x v="5"/>
    <x v="3"/>
    <n v="2023.2"/>
    <x v="1"/>
    <x v="0"/>
    <n v="29138"/>
    <n v="0"/>
    <x v="1"/>
    <n v="28943"/>
    <n v="29333"/>
    <n v="28140"/>
    <n v="103.5"/>
    <s v="N"/>
    <n v="29172"/>
    <n v="0"/>
  </r>
  <r>
    <n v="187"/>
    <x v="5"/>
    <x v="3"/>
    <n v="2023.3"/>
    <x v="1"/>
    <x v="1"/>
    <n v="29369.2824674"/>
    <n v="29559"/>
    <x v="0"/>
    <n v="27960"/>
    <n v="30779"/>
    <n v="28162"/>
    <n v="104.3"/>
    <s v="Y"/>
    <n v="29442"/>
    <n v="105"/>
  </r>
  <r>
    <n v="188"/>
    <x v="5"/>
    <x v="3"/>
    <n v="2023.3"/>
    <x v="2"/>
    <x v="1"/>
    <n v="29120"/>
    <n v="0"/>
    <x v="1"/>
    <n v="28913"/>
    <n v="29327"/>
    <n v="28162"/>
    <n v="103.4"/>
    <s v="Y"/>
    <n v="29091"/>
    <n v="0"/>
  </r>
  <r>
    <n v="189"/>
    <x v="5"/>
    <x v="3"/>
    <n v="2023.4"/>
    <x v="2"/>
    <x v="2"/>
    <n v="28083"/>
    <n v="28191"/>
    <x v="0"/>
    <n v="27249"/>
    <n v="28917"/>
    <n v="26973"/>
    <n v="104.1"/>
    <s v="N"/>
    <n v="28187"/>
    <n v="104.5"/>
  </r>
  <r>
    <n v="190"/>
    <x v="5"/>
    <x v="3"/>
    <n v="2023.4"/>
    <x v="3"/>
    <x v="2"/>
    <n v="27857"/>
    <n v="0"/>
    <x v="1"/>
    <n v="27612"/>
    <n v="28102"/>
    <n v="26973"/>
    <n v="103.3"/>
    <s v="N"/>
    <n v="27809"/>
    <n v="0"/>
  </r>
  <r>
    <n v="191"/>
    <x v="5"/>
    <x v="3"/>
    <n v="2024.1"/>
    <x v="3"/>
    <x v="3"/>
    <n v="26801"/>
    <n v="26897"/>
    <x v="0"/>
    <n v="26040"/>
    <n v="27562"/>
    <n v="25662"/>
    <n v="104.4"/>
    <s v="N"/>
    <n v="26803"/>
    <n v="104.8"/>
  </r>
  <r>
    <n v="192"/>
    <x v="5"/>
    <x v="3"/>
    <n v="2024.1"/>
    <x v="4"/>
    <x v="3"/>
    <n v="26588"/>
    <n v="0"/>
    <x v="1"/>
    <n v="26302"/>
    <n v="26874"/>
    <n v="25662"/>
    <n v="103.6"/>
    <s v="N"/>
    <n v="26466"/>
    <n v="0"/>
  </r>
  <r>
    <n v="193"/>
    <x v="6"/>
    <x v="0"/>
    <n v="2023.2"/>
    <x v="0"/>
    <x v="0"/>
    <n v="975"/>
    <n v="0"/>
    <x v="0"/>
    <n v="810"/>
    <n v="1140"/>
    <n v="922"/>
    <n v="105.7"/>
    <s v="Y"/>
    <n v="807"/>
    <n v="0"/>
  </r>
  <r>
    <n v="194"/>
    <x v="6"/>
    <x v="0"/>
    <n v="2023.2"/>
    <x v="1"/>
    <x v="0"/>
    <n v="958"/>
    <n v="0"/>
    <x v="1"/>
    <n v="888"/>
    <n v="1028"/>
    <n v="922"/>
    <n v="103.9"/>
    <s v="Y"/>
    <n v="883"/>
    <n v="0"/>
  </r>
  <r>
    <n v="195"/>
    <x v="6"/>
    <x v="0"/>
    <n v="2023.3"/>
    <x v="1"/>
    <x v="1"/>
    <n v="1106"/>
    <n v="0"/>
    <x v="0"/>
    <n v="916"/>
    <n v="1296"/>
    <n v="988"/>
    <n v="111.9"/>
    <s v="Y"/>
    <n v="909"/>
    <n v="0"/>
  </r>
  <r>
    <n v="196"/>
    <x v="6"/>
    <x v="0"/>
    <n v="2023.3"/>
    <x v="2"/>
    <x v="1"/>
    <n v="1034"/>
    <n v="0"/>
    <x v="1"/>
    <n v="961"/>
    <n v="1107"/>
    <n v="988"/>
    <n v="104.7"/>
    <s v="Y"/>
    <n v="952"/>
    <n v="0"/>
  </r>
  <r>
    <n v="197"/>
    <x v="6"/>
    <x v="0"/>
    <n v="2023.4"/>
    <x v="2"/>
    <x v="2"/>
    <n v="1012"/>
    <n v="0"/>
    <x v="0"/>
    <n v="869"/>
    <n v="1155"/>
    <n v="907"/>
    <n v="111.6"/>
    <s v="Y"/>
    <n v="823"/>
    <n v="0"/>
  </r>
  <r>
    <n v="198"/>
    <x v="6"/>
    <x v="0"/>
    <n v="2023.4"/>
    <x v="3"/>
    <x v="2"/>
    <n v="937"/>
    <n v="0"/>
    <x v="1"/>
    <n v="866"/>
    <n v="1008"/>
    <n v="907"/>
    <n v="103.3"/>
    <s v="Y"/>
    <n v="863"/>
    <n v="0"/>
  </r>
  <r>
    <n v="199"/>
    <x v="6"/>
    <x v="0"/>
    <n v="2024.1"/>
    <x v="3"/>
    <x v="3"/>
    <n v="874"/>
    <n v="0"/>
    <x v="0"/>
    <n v="746"/>
    <n v="1002"/>
    <n v="788"/>
    <n v="110.9"/>
    <s v="Y"/>
    <n v="711"/>
    <n v="0"/>
  </r>
  <r>
    <n v="200"/>
    <x v="6"/>
    <x v="0"/>
    <n v="2024.1"/>
    <x v="4"/>
    <x v="3"/>
    <n v="819"/>
    <n v="0"/>
    <x v="1"/>
    <n v="757"/>
    <n v="881"/>
    <n v="788"/>
    <n v="103.9"/>
    <s v="Y"/>
    <n v="756"/>
    <n v="0"/>
  </r>
  <r>
    <n v="201"/>
    <x v="6"/>
    <x v="1"/>
    <n v="2024.2"/>
    <x v="4"/>
    <x v="4"/>
    <n v="1051"/>
    <n v="0"/>
    <x v="0"/>
    <n v="996"/>
    <n v="1106"/>
    <n v="1032"/>
    <n v="101.8"/>
    <s v="Y"/>
    <n v="1026"/>
    <n v="0"/>
  </r>
  <r>
    <n v="202"/>
    <x v="6"/>
    <x v="1"/>
    <n v="2024.2"/>
    <x v="5"/>
    <x v="4"/>
    <n v="1033"/>
    <n v="0"/>
    <x v="1"/>
    <n v="1026"/>
    <n v="1040"/>
    <n v="1032"/>
    <n v="100.1"/>
    <s v="Y"/>
    <n v="1030"/>
    <n v="0"/>
  </r>
  <r>
    <n v="203"/>
    <x v="6"/>
    <x v="1"/>
    <n v="2024.3"/>
    <x v="5"/>
    <x v="5"/>
    <n v="1851"/>
    <n v="0"/>
    <x v="0"/>
    <n v="1753"/>
    <n v="1949"/>
    <n v="1810"/>
    <n v="102.3"/>
    <s v="Y"/>
    <n v="1808"/>
    <n v="0"/>
  </r>
  <r>
    <n v="204"/>
    <x v="6"/>
    <x v="1"/>
    <n v="2024.3"/>
    <x v="6"/>
    <x v="5"/>
    <n v="1814"/>
    <n v="0"/>
    <x v="1"/>
    <n v="1802"/>
    <n v="1826"/>
    <n v="1810"/>
    <n v="100.2"/>
    <s v="Y"/>
    <n v="1809"/>
    <n v="0"/>
  </r>
  <r>
    <n v="205"/>
    <x v="6"/>
    <x v="1"/>
    <n v="2024.4"/>
    <x v="6"/>
    <x v="6"/>
    <n v="1344"/>
    <n v="0"/>
    <x v="0"/>
    <n v="1271"/>
    <n v="1417"/>
    <n v="1315"/>
    <n v="102.2"/>
    <s v="Y"/>
    <n v="1314"/>
    <n v="0"/>
  </r>
  <r>
    <n v="206"/>
    <x v="6"/>
    <x v="1"/>
    <n v="2024.4"/>
    <x v="7"/>
    <x v="6"/>
    <n v="1319"/>
    <n v="0"/>
    <x v="1"/>
    <n v="1311"/>
    <n v="1327"/>
    <n v="1315"/>
    <n v="100.3"/>
    <s v="Y"/>
    <n v="1315"/>
    <n v="0"/>
  </r>
  <r>
    <n v="207"/>
    <x v="6"/>
    <x v="1"/>
    <n v="2025.1"/>
    <x v="7"/>
    <x v="7"/>
    <n v="827"/>
    <n v="0"/>
    <x v="0"/>
    <n v="782"/>
    <n v="872"/>
    <n v="810"/>
    <n v="102.1"/>
    <s v="Y"/>
    <n v="809"/>
    <n v="0"/>
  </r>
  <r>
    <n v="208"/>
    <x v="6"/>
    <x v="1"/>
    <n v="2025.1"/>
    <x v="8"/>
    <x v="7"/>
    <n v="811"/>
    <n v="0"/>
    <x v="1"/>
    <n v="807"/>
    <n v="815"/>
    <n v="810"/>
    <n v="100.1"/>
    <s v="Y"/>
    <n v="809"/>
    <n v="0"/>
  </r>
  <r>
    <n v="209"/>
    <x v="6"/>
    <x v="2"/>
    <n v="2024.2"/>
    <x v="4"/>
    <x v="4"/>
    <n v="1172"/>
    <n v="0"/>
    <x v="0"/>
    <n v="1154"/>
    <n v="1190"/>
    <n v="1159"/>
    <n v="101.1"/>
    <s v="Y"/>
    <n v="1150"/>
    <n v="0"/>
  </r>
  <r>
    <n v="210"/>
    <x v="6"/>
    <x v="2"/>
    <n v="2024.2"/>
    <x v="5"/>
    <x v="4"/>
    <n v="1167"/>
    <n v="0"/>
    <x v="1"/>
    <n v="1154"/>
    <n v="1180"/>
    <n v="1159"/>
    <n v="100.7"/>
    <s v="Y"/>
    <n v="1158"/>
    <n v="0"/>
  </r>
  <r>
    <n v="211"/>
    <x v="6"/>
    <x v="2"/>
    <n v="2024.3"/>
    <x v="5"/>
    <x v="5"/>
    <n v="644"/>
    <n v="0"/>
    <x v="0"/>
    <n v="632"/>
    <n v="656"/>
    <n v="637"/>
    <n v="101.1"/>
    <s v="Y"/>
    <n v="633"/>
    <n v="0"/>
  </r>
  <r>
    <n v="212"/>
    <x v="6"/>
    <x v="2"/>
    <n v="2024.3"/>
    <x v="6"/>
    <x v="5"/>
    <n v="641"/>
    <n v="0"/>
    <x v="1"/>
    <n v="633"/>
    <n v="649"/>
    <n v="637"/>
    <n v="100.6"/>
    <s v="Y"/>
    <n v="636"/>
    <n v="0"/>
  </r>
  <r>
    <n v="213"/>
    <x v="6"/>
    <x v="2"/>
    <n v="2024.4"/>
    <x v="6"/>
    <x v="6"/>
    <n v="762"/>
    <n v="0"/>
    <x v="0"/>
    <n v="749"/>
    <n v="775"/>
    <n v="751"/>
    <n v="101.5"/>
    <s v="Y"/>
    <n v="750"/>
    <n v="0"/>
  </r>
  <r>
    <n v="214"/>
    <x v="6"/>
    <x v="2"/>
    <n v="2024.4"/>
    <x v="7"/>
    <x v="6"/>
    <n v="756"/>
    <n v="0"/>
    <x v="1"/>
    <n v="746"/>
    <n v="766"/>
    <n v="751"/>
    <n v="100.7"/>
    <s v="Y"/>
    <n v="751"/>
    <n v="0"/>
  </r>
  <r>
    <n v="215"/>
    <x v="6"/>
    <x v="2"/>
    <n v="2025.1"/>
    <x v="7"/>
    <x v="7"/>
    <n v="777"/>
    <n v="0"/>
    <x v="0"/>
    <n v="762"/>
    <n v="792"/>
    <n v="768"/>
    <n v="101.2"/>
    <s v="Y"/>
    <n v="766"/>
    <n v="0"/>
  </r>
  <r>
    <n v="216"/>
    <x v="6"/>
    <x v="2"/>
    <n v="2025.1"/>
    <x v="8"/>
    <x v="7"/>
    <n v="773"/>
    <n v="0"/>
    <x v="1"/>
    <n v="763"/>
    <n v="783"/>
    <n v="768"/>
    <n v="100.7"/>
    <s v="Y"/>
    <n v="768"/>
    <n v="0"/>
  </r>
  <r>
    <n v="217"/>
    <x v="6"/>
    <x v="3"/>
    <n v="2023.2"/>
    <x v="0"/>
    <x v="0"/>
    <n v="10652"/>
    <n v="0"/>
    <x v="0"/>
    <n v="10378"/>
    <n v="10926"/>
    <n v="11536"/>
    <n v="92.3"/>
    <s v="N"/>
    <n v="11667"/>
    <n v="0"/>
  </r>
  <r>
    <n v="218"/>
    <x v="6"/>
    <x v="3"/>
    <n v="2023.2"/>
    <x v="1"/>
    <x v="0"/>
    <n v="10784"/>
    <n v="0"/>
    <x v="1"/>
    <n v="10644"/>
    <n v="10924"/>
    <n v="11536"/>
    <n v="93.5"/>
    <s v="N"/>
    <n v="11566"/>
    <n v="0"/>
  </r>
  <r>
    <n v="219"/>
    <x v="6"/>
    <x v="3"/>
    <n v="2023.3"/>
    <x v="1"/>
    <x v="1"/>
    <n v="10828"/>
    <n v="0"/>
    <x v="0"/>
    <n v="10564"/>
    <n v="11092"/>
    <n v="11815"/>
    <n v="91.6"/>
    <s v="N"/>
    <n v="11863"/>
    <n v="0"/>
  </r>
  <r>
    <n v="220"/>
    <x v="6"/>
    <x v="3"/>
    <n v="2023.3"/>
    <x v="2"/>
    <x v="1"/>
    <n v="11045"/>
    <n v="0"/>
    <x v="1"/>
    <n v="10921"/>
    <n v="11169"/>
    <n v="11815"/>
    <n v="93.5"/>
    <s v="N"/>
    <n v="11812"/>
    <n v="0"/>
  </r>
  <r>
    <n v="221"/>
    <x v="6"/>
    <x v="3"/>
    <n v="2023.4"/>
    <x v="2"/>
    <x v="2"/>
    <n v="10373"/>
    <n v="0"/>
    <x v="0"/>
    <n v="10171"/>
    <n v="10575"/>
    <n v="11436"/>
    <n v="90.7"/>
    <s v="N"/>
    <n v="11424"/>
    <n v="0"/>
  </r>
  <r>
    <n v="222"/>
    <x v="6"/>
    <x v="3"/>
    <n v="2023.4"/>
    <x v="3"/>
    <x v="2"/>
    <n v="10658"/>
    <n v="0"/>
    <x v="1"/>
    <n v="10534"/>
    <n v="10782"/>
    <n v="11436"/>
    <n v="93.2"/>
    <s v="N"/>
    <n v="11548"/>
    <n v="0"/>
  </r>
  <r>
    <n v="223"/>
    <x v="6"/>
    <x v="3"/>
    <n v="2024.1"/>
    <x v="3"/>
    <x v="3"/>
    <n v="10074"/>
    <n v="0"/>
    <x v="0"/>
    <n v="9882"/>
    <n v="10266"/>
    <n v="11025"/>
    <n v="91.4"/>
    <s v="N"/>
    <n v="11196"/>
    <n v="0"/>
  </r>
  <r>
    <n v="224"/>
    <x v="6"/>
    <x v="3"/>
    <n v="2024.1"/>
    <x v="4"/>
    <x v="3"/>
    <n v="10282"/>
    <n v="0"/>
    <x v="1"/>
    <n v="10167"/>
    <n v="10397"/>
    <n v="11025"/>
    <n v="93.3"/>
    <s v="N"/>
    <n v="11120"/>
    <n v="0"/>
  </r>
  <r>
    <n v="225"/>
    <x v="7"/>
    <x v="0"/>
    <n v="2023.2"/>
    <x v="0"/>
    <x v="0"/>
    <n v="6913"/>
    <n v="0"/>
    <x v="0"/>
    <n v="5253"/>
    <n v="8573"/>
    <n v="7007"/>
    <n v="98.7"/>
    <s v="Y"/>
    <n v="5152"/>
    <n v="0"/>
  </r>
  <r>
    <n v="226"/>
    <x v="7"/>
    <x v="0"/>
    <n v="2023.2"/>
    <x v="1"/>
    <x v="0"/>
    <n v="7138"/>
    <n v="0"/>
    <x v="1"/>
    <n v="6350"/>
    <n v="7926"/>
    <n v="7007"/>
    <n v="101.9"/>
    <s v="Y"/>
    <n v="6059"/>
    <n v="0"/>
  </r>
  <r>
    <n v="227"/>
    <x v="7"/>
    <x v="0"/>
    <n v="2023.3"/>
    <x v="1"/>
    <x v="1"/>
    <n v="7370.2396938000002"/>
    <n v="7072"/>
    <x v="0"/>
    <n v="5702"/>
    <n v="9039"/>
    <n v="6595"/>
    <n v="111.8"/>
    <s v="Y"/>
    <n v="5119"/>
    <n v="107.2"/>
  </r>
  <r>
    <n v="228"/>
    <x v="7"/>
    <x v="0"/>
    <n v="2023.3"/>
    <x v="2"/>
    <x v="1"/>
    <n v="6886"/>
    <n v="0"/>
    <x v="1"/>
    <n v="6287"/>
    <n v="7485"/>
    <n v="6595"/>
    <n v="104.4"/>
    <s v="Y"/>
    <n v="5768"/>
    <n v="0"/>
  </r>
  <r>
    <n v="229"/>
    <x v="7"/>
    <x v="0"/>
    <n v="2023.4"/>
    <x v="2"/>
    <x v="2"/>
    <n v="7462"/>
    <n v="0"/>
    <x v="0"/>
    <n v="5970"/>
    <n v="8954"/>
    <n v="6568"/>
    <n v="113.6"/>
    <s v="Y"/>
    <n v="5292"/>
    <n v="0"/>
  </r>
  <r>
    <n v="230"/>
    <x v="7"/>
    <x v="0"/>
    <n v="2023.4"/>
    <x v="3"/>
    <x v="2"/>
    <n v="7031"/>
    <n v="0"/>
    <x v="1"/>
    <n v="6618"/>
    <n v="7444"/>
    <n v="6568"/>
    <n v="107"/>
    <s v="Y"/>
    <n v="5807"/>
    <n v="0"/>
  </r>
  <r>
    <n v="231"/>
    <x v="7"/>
    <x v="0"/>
    <n v="2024.1"/>
    <x v="3"/>
    <x v="3"/>
    <n v="6815"/>
    <n v="0"/>
    <x v="0"/>
    <n v="5844"/>
    <n v="7786"/>
    <n v="5966"/>
    <n v="114.2"/>
    <s v="Y"/>
    <n v="4736"/>
    <n v="0"/>
  </r>
  <r>
    <n v="232"/>
    <x v="7"/>
    <x v="0"/>
    <n v="2024.1"/>
    <x v="4"/>
    <x v="3"/>
    <n v="6383"/>
    <n v="0"/>
    <x v="1"/>
    <n v="6005"/>
    <n v="6761"/>
    <n v="5966"/>
    <n v="107"/>
    <s v="Y"/>
    <n v="5252"/>
    <n v="0"/>
  </r>
  <r>
    <n v="233"/>
    <x v="7"/>
    <x v="1"/>
    <n v="2024.2"/>
    <x v="4"/>
    <x v="4"/>
    <n v="7207"/>
    <n v="0"/>
    <x v="0"/>
    <n v="6304"/>
    <n v="8110"/>
    <n v="6863"/>
    <n v="105"/>
    <s v="Y"/>
    <n v="6822"/>
    <n v="0"/>
  </r>
  <r>
    <n v="234"/>
    <x v="7"/>
    <x v="1"/>
    <n v="2024.2"/>
    <x v="5"/>
    <x v="4"/>
    <n v="6907"/>
    <n v="0"/>
    <x v="1"/>
    <n v="6829"/>
    <n v="6985"/>
    <n v="6863"/>
    <n v="100.6"/>
    <s v="Y"/>
    <n v="6862"/>
    <n v="0"/>
  </r>
  <r>
    <n v="235"/>
    <x v="7"/>
    <x v="1"/>
    <n v="2024.3"/>
    <x v="5"/>
    <x v="5"/>
    <n v="11498"/>
    <n v="0"/>
    <x v="0"/>
    <n v="10007"/>
    <n v="12989"/>
    <n v="10967"/>
    <n v="104.8"/>
    <s v="Y"/>
    <n v="10907"/>
    <n v="0"/>
  </r>
  <r>
    <n v="236"/>
    <x v="7"/>
    <x v="1"/>
    <n v="2024.3"/>
    <x v="6"/>
    <x v="5"/>
    <n v="11029"/>
    <n v="0"/>
    <x v="1"/>
    <n v="10892"/>
    <n v="11166"/>
    <n v="10967"/>
    <n v="100.6"/>
    <s v="Y"/>
    <n v="10964"/>
    <n v="0"/>
  </r>
  <r>
    <n v="237"/>
    <x v="7"/>
    <x v="1"/>
    <n v="2024.4"/>
    <x v="6"/>
    <x v="6"/>
    <n v="8144"/>
    <n v="0"/>
    <x v="0"/>
    <n v="7052"/>
    <n v="9236"/>
    <n v="7830"/>
    <n v="104"/>
    <s v="Y"/>
    <n v="7744"/>
    <n v="0"/>
  </r>
  <r>
    <n v="238"/>
    <x v="7"/>
    <x v="1"/>
    <n v="2024.4"/>
    <x v="7"/>
    <x v="6"/>
    <n v="7872"/>
    <n v="0"/>
    <x v="1"/>
    <n v="7769"/>
    <n v="7975"/>
    <n v="7830"/>
    <n v="100.5"/>
    <s v="Y"/>
    <n v="7830"/>
    <n v="0"/>
  </r>
  <r>
    <n v="239"/>
    <x v="7"/>
    <x v="1"/>
    <n v="2025.1"/>
    <x v="7"/>
    <x v="7"/>
    <n v="5143"/>
    <n v="0"/>
    <x v="0"/>
    <n v="4427"/>
    <n v="5859"/>
    <n v="4927"/>
    <n v="104.4"/>
    <s v="Y"/>
    <n v="4907"/>
    <n v="0"/>
  </r>
  <r>
    <n v="240"/>
    <x v="7"/>
    <x v="1"/>
    <n v="2025.1"/>
    <x v="8"/>
    <x v="7"/>
    <n v="4947"/>
    <n v="0"/>
    <x v="1"/>
    <n v="4882"/>
    <n v="5012"/>
    <n v="4927"/>
    <n v="100.4"/>
    <s v="Y"/>
    <n v="4927"/>
    <n v="0"/>
  </r>
  <r>
    <n v="241"/>
    <x v="7"/>
    <x v="2"/>
    <n v="2024.2"/>
    <x v="4"/>
    <x v="4"/>
    <n v="7531"/>
    <n v="0"/>
    <x v="0"/>
    <n v="7214"/>
    <n v="7848"/>
    <n v="7155"/>
    <n v="105.3"/>
    <s v="N"/>
    <n v="6917"/>
    <n v="0"/>
  </r>
  <r>
    <n v="242"/>
    <x v="7"/>
    <x v="2"/>
    <n v="2024.2"/>
    <x v="5"/>
    <x v="4"/>
    <n v="7369"/>
    <n v="0"/>
    <x v="1"/>
    <n v="7185"/>
    <n v="7553"/>
    <n v="7155"/>
    <n v="103"/>
    <s v="N"/>
    <n v="7066"/>
    <n v="0"/>
  </r>
  <r>
    <n v="243"/>
    <x v="7"/>
    <x v="2"/>
    <n v="2024.3"/>
    <x v="5"/>
    <x v="5"/>
    <n v="4389"/>
    <n v="0"/>
    <x v="0"/>
    <n v="4209"/>
    <n v="4569"/>
    <n v="4182"/>
    <n v="104.9"/>
    <s v="N"/>
    <n v="4034"/>
    <n v="0"/>
  </r>
  <r>
    <n v="244"/>
    <x v="7"/>
    <x v="2"/>
    <n v="2024.3"/>
    <x v="6"/>
    <x v="5"/>
    <n v="4309"/>
    <n v="0"/>
    <x v="1"/>
    <n v="4185"/>
    <n v="4433"/>
    <n v="4182"/>
    <n v="103"/>
    <s v="N"/>
    <n v="4135"/>
    <n v="0"/>
  </r>
  <r>
    <n v="245"/>
    <x v="7"/>
    <x v="2"/>
    <n v="2024.4"/>
    <x v="6"/>
    <x v="6"/>
    <n v="3886"/>
    <n v="0"/>
    <x v="0"/>
    <n v="3726"/>
    <n v="4046"/>
    <n v="3741"/>
    <n v="103.9"/>
    <s v="Y"/>
    <n v="3580"/>
    <n v="0"/>
  </r>
  <r>
    <n v="246"/>
    <x v="7"/>
    <x v="2"/>
    <n v="2024.4"/>
    <x v="7"/>
    <x v="6"/>
    <n v="3805"/>
    <n v="0"/>
    <x v="1"/>
    <n v="3723"/>
    <n v="3887"/>
    <n v="3741"/>
    <n v="101.7"/>
    <s v="Y"/>
    <n v="3667"/>
    <n v="0"/>
  </r>
  <r>
    <n v="247"/>
    <x v="7"/>
    <x v="2"/>
    <n v="2025.1"/>
    <x v="7"/>
    <x v="7"/>
    <n v="4065"/>
    <n v="0"/>
    <x v="0"/>
    <n v="3919"/>
    <n v="4211"/>
    <n v="3921"/>
    <n v="103.7"/>
    <s v="Y"/>
    <n v="3768"/>
    <n v="0"/>
  </r>
  <r>
    <n v="248"/>
    <x v="7"/>
    <x v="2"/>
    <n v="2025.1"/>
    <x v="8"/>
    <x v="7"/>
    <n v="3982"/>
    <n v="0"/>
    <x v="1"/>
    <n v="3875"/>
    <n v="4089"/>
    <n v="3921"/>
    <n v="101.6"/>
    <s v="Y"/>
    <n v="3848"/>
    <n v="0"/>
  </r>
  <r>
    <n v="249"/>
    <x v="7"/>
    <x v="3"/>
    <n v="2023.2"/>
    <x v="0"/>
    <x v="0"/>
    <n v="78947"/>
    <n v="0"/>
    <x v="0"/>
    <n v="76848"/>
    <n v="81046"/>
    <n v="78126"/>
    <n v="101.1"/>
    <s v="Y"/>
    <n v="82438"/>
    <n v="0"/>
  </r>
  <r>
    <n v="250"/>
    <x v="7"/>
    <x v="3"/>
    <n v="2023.2"/>
    <x v="1"/>
    <x v="0"/>
    <n v="78598"/>
    <n v="0"/>
    <x v="1"/>
    <n v="77517"/>
    <n v="79679"/>
    <n v="78126"/>
    <n v="100.6"/>
    <s v="Y"/>
    <n v="80858"/>
    <n v="0"/>
  </r>
  <r>
    <n v="251"/>
    <x v="7"/>
    <x v="3"/>
    <n v="2023.3"/>
    <x v="1"/>
    <x v="1"/>
    <n v="81211.760306199998"/>
    <n v="81510"/>
    <x v="0"/>
    <n v="78604"/>
    <n v="83819"/>
    <n v="80866"/>
    <n v="100.4"/>
    <s v="Y"/>
    <n v="84759"/>
    <n v="100.8"/>
  </r>
  <r>
    <n v="252"/>
    <x v="7"/>
    <x v="3"/>
    <n v="2023.3"/>
    <x v="2"/>
    <x v="1"/>
    <n v="81288"/>
    <n v="0"/>
    <x v="1"/>
    <n v="80334"/>
    <n v="82242"/>
    <n v="80866"/>
    <n v="100.5"/>
    <s v="Y"/>
    <n v="83411"/>
    <n v="0"/>
  </r>
  <r>
    <n v="253"/>
    <x v="7"/>
    <x v="3"/>
    <n v="2023.4"/>
    <x v="2"/>
    <x v="2"/>
    <n v="78970"/>
    <n v="0"/>
    <x v="0"/>
    <n v="76863"/>
    <n v="81077"/>
    <n v="78936"/>
    <n v="100"/>
    <s v="Y"/>
    <n v="82456"/>
    <n v="0"/>
  </r>
  <r>
    <n v="254"/>
    <x v="7"/>
    <x v="3"/>
    <n v="2023.4"/>
    <x v="3"/>
    <x v="2"/>
    <n v="79482"/>
    <n v="0"/>
    <x v="1"/>
    <n v="78740"/>
    <n v="80224"/>
    <n v="78936"/>
    <n v="100.7"/>
    <s v="Y"/>
    <n v="81420"/>
    <n v="0"/>
  </r>
  <r>
    <n v="255"/>
    <x v="7"/>
    <x v="3"/>
    <n v="2024.1"/>
    <x v="3"/>
    <x v="3"/>
    <n v="77144"/>
    <n v="0"/>
    <x v="0"/>
    <n v="75548"/>
    <n v="78740"/>
    <n v="76840"/>
    <n v="100.4"/>
    <s v="Y"/>
    <n v="80488"/>
    <n v="0"/>
  </r>
  <r>
    <n v="256"/>
    <x v="7"/>
    <x v="3"/>
    <n v="2024.1"/>
    <x v="4"/>
    <x v="3"/>
    <n v="77785"/>
    <n v="0"/>
    <x v="1"/>
    <n v="77049"/>
    <n v="78521"/>
    <n v="76840"/>
    <n v="101.2"/>
    <s v="Y"/>
    <n v="79322"/>
    <n v="0"/>
  </r>
  <r>
    <n v="257"/>
    <x v="8"/>
    <x v="0"/>
    <n v="2023.2"/>
    <x v="0"/>
    <x v="0"/>
    <n v="3808"/>
    <n v="0"/>
    <x v="0"/>
    <n v="3678"/>
    <n v="3938"/>
    <n v="3783"/>
    <n v="100.7"/>
    <s v="Y"/>
    <n v="3783"/>
    <n v="0"/>
  </r>
  <r>
    <n v="258"/>
    <x v="8"/>
    <x v="0"/>
    <n v="2023.2"/>
    <x v="1"/>
    <x v="0"/>
    <n v="3796"/>
    <n v="0"/>
    <x v="1"/>
    <n v="3746"/>
    <n v="3846"/>
    <n v="3783"/>
    <n v="100.3"/>
    <s v="Y"/>
    <n v="3783"/>
    <n v="0"/>
  </r>
  <r>
    <n v="259"/>
    <x v="8"/>
    <x v="0"/>
    <n v="2023.3"/>
    <x v="1"/>
    <x v="1"/>
    <n v="4187"/>
    <n v="0"/>
    <x v="0"/>
    <n v="4024"/>
    <n v="4350"/>
    <n v="4168"/>
    <n v="100.5"/>
    <s v="Y"/>
    <n v="4168"/>
    <n v="0"/>
  </r>
  <r>
    <n v="260"/>
    <x v="8"/>
    <x v="0"/>
    <n v="2023.3"/>
    <x v="2"/>
    <x v="1"/>
    <n v="4180"/>
    <n v="0"/>
    <x v="1"/>
    <n v="4124"/>
    <n v="4236"/>
    <n v="4168"/>
    <n v="100.3"/>
    <s v="Y"/>
    <n v="4168"/>
    <n v="0"/>
  </r>
  <r>
    <n v="261"/>
    <x v="8"/>
    <x v="0"/>
    <n v="2023.4"/>
    <x v="2"/>
    <x v="2"/>
    <n v="3709"/>
    <n v="0"/>
    <x v="0"/>
    <n v="3563"/>
    <n v="3855"/>
    <n v="3693"/>
    <n v="100.4"/>
    <s v="Y"/>
    <n v="3694"/>
    <n v="0"/>
  </r>
  <r>
    <n v="262"/>
    <x v="8"/>
    <x v="0"/>
    <n v="2023.4"/>
    <x v="3"/>
    <x v="2"/>
    <n v="3700"/>
    <n v="0"/>
    <x v="1"/>
    <n v="3652"/>
    <n v="3748"/>
    <n v="3693"/>
    <n v="100.2"/>
    <s v="Y"/>
    <n v="3693"/>
    <n v="0"/>
  </r>
  <r>
    <n v="263"/>
    <x v="8"/>
    <x v="0"/>
    <n v="2024.1"/>
    <x v="3"/>
    <x v="3"/>
    <n v="3397"/>
    <n v="0"/>
    <x v="0"/>
    <n v="3263"/>
    <n v="3531"/>
    <n v="3386"/>
    <n v="100.3"/>
    <s v="Y"/>
    <n v="3386"/>
    <n v="0"/>
  </r>
  <r>
    <n v="264"/>
    <x v="8"/>
    <x v="0"/>
    <n v="2024.1"/>
    <x v="4"/>
    <x v="3"/>
    <n v="3392"/>
    <n v="0"/>
    <x v="1"/>
    <n v="3348"/>
    <n v="3436"/>
    <n v="3386"/>
    <n v="100.2"/>
    <s v="Y"/>
    <n v="3386"/>
    <n v="0"/>
  </r>
  <r>
    <n v="265"/>
    <x v="8"/>
    <x v="1"/>
    <n v="2024.2"/>
    <x v="4"/>
    <x v="4"/>
    <n v="4162"/>
    <n v="0"/>
    <x v="0"/>
    <n v="4085"/>
    <n v="4239"/>
    <n v="4067"/>
    <n v="102.3"/>
    <s v="N"/>
    <n v="4126"/>
    <n v="0"/>
  </r>
  <r>
    <n v="266"/>
    <x v="8"/>
    <x v="1"/>
    <n v="2024.2"/>
    <x v="5"/>
    <x v="4"/>
    <n v="4067"/>
    <n v="0"/>
    <x v="1"/>
    <n v="3983"/>
    <n v="4151"/>
    <n v="4067"/>
    <n v="100"/>
    <s v="N"/>
    <n v="4067"/>
    <n v="0"/>
  </r>
  <r>
    <n v="267"/>
    <x v="8"/>
    <x v="1"/>
    <n v="2024.3"/>
    <x v="5"/>
    <x v="5"/>
    <n v="6639"/>
    <n v="0"/>
    <x v="0"/>
    <n v="6432"/>
    <n v="6846"/>
    <n v="6641"/>
    <n v="100"/>
    <s v="Y"/>
    <n v="6639"/>
    <n v="0"/>
  </r>
  <r>
    <n v="268"/>
    <x v="8"/>
    <x v="1"/>
    <n v="2024.3"/>
    <x v="6"/>
    <x v="5"/>
    <n v="6640"/>
    <n v="0"/>
    <x v="1"/>
    <n v="6508"/>
    <n v="6772"/>
    <n v="6641"/>
    <n v="100"/>
    <s v="Y"/>
    <n v="6640"/>
    <n v="0"/>
  </r>
  <r>
    <n v="269"/>
    <x v="8"/>
    <x v="1"/>
    <n v="2024.4"/>
    <x v="6"/>
    <x v="6"/>
    <n v="5470"/>
    <n v="0"/>
    <x v="0"/>
    <n v="5296"/>
    <n v="5644"/>
    <n v="5476"/>
    <n v="99.9"/>
    <s v="Y"/>
    <n v="5470"/>
    <n v="0"/>
  </r>
  <r>
    <n v="270"/>
    <x v="8"/>
    <x v="1"/>
    <n v="2024.4"/>
    <x v="7"/>
    <x v="6"/>
    <n v="5474"/>
    <n v="0"/>
    <x v="1"/>
    <n v="5368"/>
    <n v="5580"/>
    <n v="5476"/>
    <n v="100"/>
    <s v="Y"/>
    <n v="5474"/>
    <n v="0"/>
  </r>
  <r>
    <n v="271"/>
    <x v="8"/>
    <x v="1"/>
    <n v="2025.1"/>
    <x v="7"/>
    <x v="7"/>
    <n v="3089"/>
    <n v="0"/>
    <x v="0"/>
    <n v="2991"/>
    <n v="3187"/>
    <n v="3089"/>
    <n v="100"/>
    <s v="Y"/>
    <n v="3089"/>
    <n v="0"/>
  </r>
  <r>
    <n v="272"/>
    <x v="8"/>
    <x v="1"/>
    <n v="2025.1"/>
    <x v="8"/>
    <x v="7"/>
    <n v="3089"/>
    <n v="0"/>
    <x v="1"/>
    <n v="3019"/>
    <n v="3159"/>
    <n v="3089"/>
    <n v="100"/>
    <s v="Y"/>
    <n v="3089"/>
    <n v="0"/>
  </r>
  <r>
    <n v="273"/>
    <x v="8"/>
    <x v="2"/>
    <n v="2024.2"/>
    <x v="4"/>
    <x v="4"/>
    <n v="3403"/>
    <n v="0"/>
    <x v="0"/>
    <n v="3371"/>
    <n v="3435"/>
    <n v="3387"/>
    <n v="100.5"/>
    <s v="Y"/>
    <n v="3372"/>
    <n v="0"/>
  </r>
  <r>
    <n v="274"/>
    <x v="8"/>
    <x v="2"/>
    <n v="2024.2"/>
    <x v="5"/>
    <x v="4"/>
    <n v="3390"/>
    <n v="0"/>
    <x v="1"/>
    <n v="3377"/>
    <n v="3403"/>
    <n v="3387"/>
    <n v="100.1"/>
    <s v="Y"/>
    <n v="3380"/>
    <n v="0"/>
  </r>
  <r>
    <n v="275"/>
    <x v="8"/>
    <x v="2"/>
    <n v="2024.3"/>
    <x v="5"/>
    <x v="5"/>
    <n v="2672"/>
    <n v="0"/>
    <x v="0"/>
    <n v="2646"/>
    <n v="2698"/>
    <n v="2667"/>
    <n v="100.2"/>
    <s v="Y"/>
    <n v="2648"/>
    <n v="0"/>
  </r>
  <r>
    <n v="276"/>
    <x v="8"/>
    <x v="2"/>
    <n v="2024.3"/>
    <x v="6"/>
    <x v="5"/>
    <n v="2668"/>
    <n v="0"/>
    <x v="1"/>
    <n v="2658"/>
    <n v="2678"/>
    <n v="2667"/>
    <n v="100"/>
    <s v="Y"/>
    <n v="2660"/>
    <n v="0"/>
  </r>
  <r>
    <n v="277"/>
    <x v="8"/>
    <x v="2"/>
    <n v="2024.4"/>
    <x v="6"/>
    <x v="6"/>
    <n v="2490"/>
    <n v="0"/>
    <x v="0"/>
    <n v="2464"/>
    <n v="2516"/>
    <n v="2486"/>
    <n v="100.2"/>
    <s v="Y"/>
    <n v="2468"/>
    <n v="0"/>
  </r>
  <r>
    <n v="278"/>
    <x v="8"/>
    <x v="2"/>
    <n v="2024.4"/>
    <x v="7"/>
    <x v="6"/>
    <n v="2491"/>
    <n v="0"/>
    <x v="1"/>
    <n v="2481"/>
    <n v="2501"/>
    <n v="2486"/>
    <n v="100.2"/>
    <s v="Y"/>
    <n v="2483"/>
    <n v="0"/>
  </r>
  <r>
    <n v="279"/>
    <x v="8"/>
    <x v="2"/>
    <n v="2025.1"/>
    <x v="7"/>
    <x v="7"/>
    <n v="2895"/>
    <n v="0"/>
    <x v="0"/>
    <n v="2866"/>
    <n v="2924"/>
    <n v="2876"/>
    <n v="100.7"/>
    <s v="Y"/>
    <n v="2871"/>
    <n v="0"/>
  </r>
  <r>
    <n v="280"/>
    <x v="8"/>
    <x v="2"/>
    <n v="2025.1"/>
    <x v="8"/>
    <x v="7"/>
    <n v="2890"/>
    <n v="0"/>
    <x v="1"/>
    <n v="2878"/>
    <n v="2902"/>
    <n v="2876"/>
    <n v="100.5"/>
    <s v="Y"/>
    <n v="2881"/>
    <n v="0"/>
  </r>
  <r>
    <n v="281"/>
    <x v="8"/>
    <x v="3"/>
    <n v="2023.2"/>
    <x v="0"/>
    <x v="0"/>
    <n v="44304"/>
    <n v="0"/>
    <x v="0"/>
    <n v="44101"/>
    <n v="44507"/>
    <n v="44062"/>
    <n v="100.5"/>
    <s v="N"/>
    <n v="44107"/>
    <n v="0"/>
  </r>
  <r>
    <n v="282"/>
    <x v="8"/>
    <x v="3"/>
    <n v="2023.2"/>
    <x v="1"/>
    <x v="0"/>
    <n v="44279"/>
    <n v="0"/>
    <x v="1"/>
    <n v="44141"/>
    <n v="44417"/>
    <n v="44062"/>
    <n v="100.5"/>
    <s v="N"/>
    <n v="44078"/>
    <n v="0"/>
  </r>
  <r>
    <n v="283"/>
    <x v="8"/>
    <x v="3"/>
    <n v="2023.3"/>
    <x v="1"/>
    <x v="1"/>
    <n v="45369"/>
    <n v="0"/>
    <x v="0"/>
    <n v="45105"/>
    <n v="45633"/>
    <n v="45090"/>
    <n v="100.6"/>
    <s v="N"/>
    <n v="45115"/>
    <n v="0"/>
  </r>
  <r>
    <n v="284"/>
    <x v="8"/>
    <x v="3"/>
    <n v="2023.3"/>
    <x v="2"/>
    <x v="1"/>
    <n v="45282"/>
    <n v="0"/>
    <x v="1"/>
    <n v="45116"/>
    <n v="45448"/>
    <n v="45090"/>
    <n v="100.4"/>
    <s v="N"/>
    <n v="45098"/>
    <n v="0"/>
  </r>
  <r>
    <n v="285"/>
    <x v="8"/>
    <x v="3"/>
    <n v="2023.4"/>
    <x v="2"/>
    <x v="2"/>
    <n v="44704"/>
    <n v="0"/>
    <x v="0"/>
    <n v="44460"/>
    <n v="44948"/>
    <n v="44426"/>
    <n v="100.6"/>
    <s v="N"/>
    <n v="44439"/>
    <n v="0"/>
  </r>
  <r>
    <n v="286"/>
    <x v="8"/>
    <x v="3"/>
    <n v="2023.4"/>
    <x v="3"/>
    <x v="2"/>
    <n v="44662"/>
    <n v="0"/>
    <x v="1"/>
    <n v="44480"/>
    <n v="44844"/>
    <n v="44426"/>
    <n v="100.5"/>
    <s v="N"/>
    <n v="44435"/>
    <n v="0"/>
  </r>
  <r>
    <n v="287"/>
    <x v="8"/>
    <x v="3"/>
    <n v="2024.1"/>
    <x v="3"/>
    <x v="3"/>
    <n v="43199"/>
    <n v="0"/>
    <x v="0"/>
    <n v="42949"/>
    <n v="43449"/>
    <n v="42897"/>
    <n v="100.7"/>
    <s v="N"/>
    <n v="42930"/>
    <n v="0"/>
  </r>
  <r>
    <n v="288"/>
    <x v="8"/>
    <x v="3"/>
    <n v="2024.1"/>
    <x v="4"/>
    <x v="3"/>
    <n v="43100"/>
    <n v="0"/>
    <x v="1"/>
    <n v="42971"/>
    <n v="43229"/>
    <n v="42897"/>
    <n v="100.5"/>
    <s v="N"/>
    <n v="4291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6" cacheId="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rowHeaderCaption="Review quarters">
  <location ref="V9:X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2">
        <item m="1" x="17"/>
        <item m="1" x="36"/>
        <item m="1" x="30"/>
        <item m="1" x="24"/>
        <item m="1" x="18"/>
        <item m="1" x="37"/>
        <item m="1" x="31"/>
        <item m="1" x="25"/>
        <item m="1" x="19"/>
        <item m="1" x="38"/>
        <item m="1" x="32"/>
        <item m="1" x="26"/>
        <item m="1" x="20"/>
        <item m="1" x="39"/>
        <item m="1" x="33"/>
        <item m="1" x="27"/>
        <item m="1" x="21"/>
        <item m="1" x="40"/>
        <item m="1" x="34"/>
        <item m="1" x="28"/>
        <item m="1" x="22"/>
        <item m="1" x="41"/>
        <item m="1" x="35"/>
        <item m="1" x="29"/>
        <item m="1" x="23"/>
        <item m="1" x="16"/>
        <item m="1" x="15"/>
        <item m="1" x="14"/>
        <item m="1" x="13"/>
        <item m="1" x="12"/>
        <item m="1" x="11"/>
        <item m="1" x="10"/>
        <item m="1" x="9"/>
        <item m="1" x="8"/>
        <item x="0"/>
        <item x="1"/>
        <item x="2"/>
        <item x="3"/>
        <item x="4"/>
        <item x="5"/>
        <item x="6"/>
        <item x="7"/>
      </items>
    </pivotField>
    <pivotField dataField="1" showAll="0"/>
    <pivotField dataField="1" showAll="0"/>
    <pivotField showAll="0">
      <items count="4">
        <item h="1" x="1"/>
        <item h="1" m="1" x="2"/>
        <item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38"/>
    </i>
    <i>
      <x v="39"/>
    </i>
    <i>
      <x v="40"/>
    </i>
    <i>
      <x v="41"/>
    </i>
  </rowItems>
  <colFields count="1">
    <field x="-2"/>
  </colFields>
  <colItems count="2">
    <i>
      <x/>
    </i>
    <i i="1">
      <x v="1"/>
    </i>
  </colItems>
  <dataFields count="2">
    <dataField name="Estimate " fld="6" baseField="3" baseItem="0"/>
    <dataField name="Model " fld="7" baseField="3" baseItem="0"/>
  </dataFields>
  <formats count="6">
    <format dxfId="6">
      <pivotArea field="5" type="button" dataOnly="0" labelOnly="1" outline="0" axis="axisRow" fieldPosition="0"/>
    </format>
    <format dxfId="5">
      <pivotArea dataOnly="0" labelOnly="1" outline="0" fieldPosition="0">
        <references count="1">
          <reference field="4294967294" count="2">
            <x v="0"/>
            <x v="1"/>
          </reference>
        </references>
      </pivotArea>
    </format>
    <format dxfId="4">
      <pivotArea field="5" type="button" dataOnly="0" labelOnly="1" outline="0" axis="axisRow" fieldPosition="0"/>
    </format>
    <format dxfId="3">
      <pivotArea dataOnly="0" labelOnly="1" outline="0" fieldPosition="0">
        <references count="1">
          <reference field="4294967294" count="2">
            <x v="0"/>
            <x v="1"/>
          </reference>
        </references>
      </pivotArea>
    </format>
    <format dxfId="2">
      <pivotArea field="5" type="button" dataOnly="0" labelOnly="1" outline="0" axis="axisRow" fieldPosition="0"/>
    </format>
    <format dxfId="1">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8" rowHeaderCaption="Review quarters">
  <location ref="A9:D13" firstHeaderRow="0" firstDataRow="1"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compact="0" outline="0" showAll="0"/>
    <pivotField compact="0" outline="0" showAll="0" defaultSubtotal="0"/>
    <pivotField name="Review quarters" axis="axisRow" compact="0" numFmtId="169" outline="0" showAll="0" defaultSubtotal="0">
      <items count="42">
        <item m="1" x="17"/>
        <item m="1" x="36"/>
        <item m="1" x="30"/>
        <item m="1" x="24"/>
        <item m="1" x="18"/>
        <item m="1" x="37"/>
        <item m="1" x="31"/>
        <item m="1" x="25"/>
        <item m="1" x="19"/>
        <item m="1" x="38"/>
        <item m="1" x="32"/>
        <item m="1" x="26"/>
        <item m="1" x="20"/>
        <item m="1" x="39"/>
        <item m="1" x="33"/>
        <item m="1" x="27"/>
        <item m="1" x="21"/>
        <item m="1" x="40"/>
        <item m="1" x="34"/>
        <item m="1" x="28"/>
        <item m="1" x="22"/>
        <item m="1" x="41"/>
        <item m="1" x="35"/>
        <item m="1" x="29"/>
        <item m="1" x="23"/>
        <item m="1" x="16"/>
        <item m="1" x="15"/>
        <item m="1" x="14"/>
        <item m="1" x="13"/>
        <item m="1" x="12"/>
        <item m="1" x="11"/>
        <item m="1" x="10"/>
        <item m="1" x="9"/>
        <item m="1" x="8"/>
        <item x="0"/>
        <item x="1"/>
        <item x="2"/>
        <item x="3"/>
        <item x="4"/>
        <item x="5"/>
        <item x="6"/>
        <item x="7"/>
      </items>
    </pivotField>
    <pivotField compact="0" outline="0" showAll="0"/>
    <pivotField compact="0" outline="0" showAll="0" defaultSubtotal="0"/>
    <pivotField compact="0" outline="0" showAll="0">
      <items count="4">
        <item h="1" x="1"/>
        <item h="1" m="1" x="2"/>
        <item x="0"/>
        <item t="default"/>
      </items>
    </pivotField>
    <pivotField dataField="1" compact="0" outline="0" showAll="0"/>
    <pivotField dataField="1"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38"/>
    </i>
    <i>
      <x v="39"/>
    </i>
    <i>
      <x v="40"/>
    </i>
    <i>
      <x v="41"/>
    </i>
  </rowItems>
  <colFields count="1">
    <field x="-2"/>
  </colFields>
  <colItems count="3">
    <i>
      <x/>
    </i>
    <i i="1">
      <x v="1"/>
    </i>
    <i i="2">
      <x v="2"/>
    </i>
  </colItems>
  <dataFields count="3">
    <dataField name="Lower boundary of prediction interval" fld="9" baseField="3" baseItem="0" numFmtId="164"/>
    <dataField name="Final count" fld="11" baseField="3" baseItem="0" numFmtId="3"/>
    <dataField name="Upper boundary of prediction interval" fld="10" baseField="3" baseItem="0" numFmtId="164"/>
  </dataFields>
  <formats count="12">
    <format dxfId="18">
      <pivotArea field="5" type="button" dataOnly="0" labelOnly="1" outline="0" axis="axisRow" fieldPosition="0"/>
    </format>
    <format dxfId="17">
      <pivotArea dataOnly="0" labelOnly="1" outline="0" fieldPosition="0">
        <references count="1">
          <reference field="5" count="8">
            <x v="0"/>
            <x v="1"/>
            <x v="2"/>
            <x v="3"/>
            <x v="4"/>
            <x v="5"/>
            <x v="6"/>
            <x v="7"/>
          </reference>
        </references>
      </pivotArea>
    </format>
    <format dxfId="16">
      <pivotArea outline="0" collapsedLevelsAreSubtotals="1" fieldPosition="0"/>
    </format>
    <format dxfId="15">
      <pivotArea dataOnly="0" labelOnly="1" outline="0" fieldPosition="0">
        <references count="1">
          <reference field="5" count="8">
            <x v="0"/>
            <x v="1"/>
            <x v="2"/>
            <x v="3"/>
            <x v="4"/>
            <x v="5"/>
            <x v="6"/>
            <x v="7"/>
          </reference>
        </references>
      </pivotArea>
    </format>
    <format dxfId="14">
      <pivotArea field="5" type="button" dataOnly="0" labelOnly="1" outline="0" axis="axisRow" fieldPosition="0"/>
    </format>
    <format dxfId="13">
      <pivotArea dataOnly="0" labelOnly="1" outline="0" fieldPosition="0">
        <references count="1">
          <reference field="4294967294" count="3">
            <x v="0"/>
            <x v="1"/>
            <x v="2"/>
          </reference>
        </references>
      </pivotArea>
    </format>
    <format dxfId="12">
      <pivotArea field="5" type="button" dataOnly="0" labelOnly="1" outline="0" axis="axisRow" fieldPosition="0"/>
    </format>
    <format dxfId="11">
      <pivotArea dataOnly="0" labelOnly="1" outline="0" fieldPosition="0">
        <references count="1">
          <reference field="4294967294" count="3">
            <x v="0"/>
            <x v="1"/>
            <x v="2"/>
          </reference>
        </references>
      </pivotArea>
    </format>
    <format dxfId="10">
      <pivotArea field="5" type="button" dataOnly="0" labelOnly="1" outline="0" axis="axisRow" fieldPosition="0"/>
    </format>
    <format dxfId="9">
      <pivotArea dataOnly="0" labelOnly="1" outline="0" fieldPosition="0">
        <references count="1">
          <reference field="4294967294" count="3">
            <x v="0"/>
            <x v="1"/>
            <x v="2"/>
          </reference>
        </references>
      </pivotArea>
    </format>
    <format dxfId="8">
      <pivotArea field="5" type="button" dataOnly="0" labelOnly="1" outline="0" axis="axisRow" fieldPosition="0"/>
    </format>
    <format dxfId="7">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2"/>
          </reference>
        </references>
      </pivotArea>
    </chartFormat>
    <chartFormat chart="5" format="8"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4" indent="0" compact="0" compactData="0" multipleFieldFilters="0" chartFormat="2">
  <location ref="P9:T15" firstHeaderRow="1" firstDataRow="3"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name="Review quarters" compact="0" outline="0" showAll="0"/>
    <pivotField compact="0" outline="0" showAll="0"/>
    <pivotField name="Review quarter" axis="axisRow" compact="0" numFmtId="169" outline="0" showAll="0" defaultSubtotal="0">
      <items count="42">
        <item m="1" x="17"/>
        <item m="1" x="36"/>
        <item m="1" x="30"/>
        <item m="1" x="24"/>
        <item m="1" x="18"/>
        <item m="1" x="37"/>
        <item m="1" x="31"/>
        <item m="1" x="25"/>
        <item m="1" x="19"/>
        <item m="1" x="38"/>
        <item m="1" x="32"/>
        <item m="1" x="26"/>
        <item m="1" x="20"/>
        <item m="1" x="39"/>
        <item m="1" x="33"/>
        <item m="1" x="27"/>
        <item m="1" x="21"/>
        <item m="1" x="40"/>
        <item m="1" x="34"/>
        <item m="1" x="28"/>
        <item m="1" x="22"/>
        <item m="1" x="41"/>
        <item m="1" x="35"/>
        <item m="1" x="29"/>
        <item m="1" x="23"/>
        <item m="1" x="16"/>
        <item m="1" x="15"/>
        <item m="1" x="14"/>
        <item m="1" x="13"/>
        <item m="1" x="12"/>
        <item m="1" x="11"/>
        <item m="1" x="10"/>
        <item m="1" x="9"/>
        <item m="1" x="8"/>
        <item x="0"/>
        <item x="1"/>
        <item x="2"/>
        <item x="3"/>
        <item x="4"/>
        <item x="5"/>
        <item x="6"/>
        <item x="7"/>
      </items>
    </pivotField>
    <pivotField dataField="1" compact="0" outline="0" showAll="0"/>
    <pivotField compact="0" outline="0" showAll="0" defaultSubtotal="0"/>
    <pivotField axis="axisCol" compact="0" outline="0" showAll="0">
      <items count="4">
        <item x="1"/>
        <item x="0"/>
        <item m="1" x="2"/>
        <item t="default"/>
      </items>
    </pivotField>
    <pivotField compact="0" outline="0" showAll="0"/>
    <pivotField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38"/>
    </i>
    <i>
      <x v="39"/>
    </i>
    <i>
      <x v="40"/>
    </i>
    <i>
      <x v="41"/>
    </i>
  </rowItems>
  <colFields count="2">
    <field x="8"/>
    <field x="-2"/>
  </colFields>
  <colItems count="4">
    <i>
      <x/>
      <x/>
    </i>
    <i r="1" i="1">
      <x v="1"/>
    </i>
    <i>
      <x v="1"/>
      <x/>
    </i>
    <i r="1" i="1">
      <x v="1"/>
    </i>
  </colItems>
  <dataFields count="2">
    <dataField name="Estimate " fld="6" baseField="3" baseItem="4"/>
    <dataField name="Final count" fld="11" baseField="3" baseItem="4"/>
  </dataFields>
  <formats count="28">
    <format dxfId="46">
      <pivotArea outline="0" collapsedLevelsAreSubtotals="1" fieldPosition="0"/>
    </format>
    <format dxfId="45">
      <pivotArea dataOnly="0" labelOnly="1" outline="0" fieldPosition="0">
        <references count="1">
          <reference field="5" count="0"/>
        </references>
      </pivotArea>
    </format>
    <format dxfId="44">
      <pivotArea type="origin" dataOnly="0" labelOnly="1" outline="0" fieldPosition="0"/>
    </format>
    <format dxfId="43">
      <pivotArea field="5" type="button" dataOnly="0" labelOnly="1" outline="0" axis="axisRow" fieldPosition="0"/>
    </format>
    <format dxfId="42">
      <pivotArea field="8" type="button" dataOnly="0" labelOnly="1" outline="0" axis="axisCol" fieldPosition="0"/>
    </format>
    <format dxfId="41">
      <pivotArea field="-2" type="button" dataOnly="0" labelOnly="1" outline="0" axis="axisCol" fieldPosition="1"/>
    </format>
    <format dxfId="40">
      <pivotArea type="topRight" dataOnly="0" labelOnly="1" outline="0" fieldPosition="0"/>
    </format>
    <format dxfId="39">
      <pivotArea dataOnly="0" labelOnly="1" outline="0" fieldPosition="0">
        <references count="1">
          <reference field="8" count="0"/>
        </references>
      </pivotArea>
    </format>
    <format dxfId="38">
      <pivotArea dataOnly="0" labelOnly="1" outline="0" fieldPosition="0">
        <references count="2">
          <reference field="4294967294" count="2">
            <x v="0"/>
            <x v="1"/>
          </reference>
          <reference field="8" count="1" selected="0">
            <x v="0"/>
          </reference>
        </references>
      </pivotArea>
    </format>
    <format dxfId="37">
      <pivotArea dataOnly="0" labelOnly="1" outline="0" fieldPosition="0">
        <references count="2">
          <reference field="4294967294" count="2">
            <x v="0"/>
            <x v="1"/>
          </reference>
          <reference field="8" count="1" selected="0">
            <x v="1"/>
          </reference>
        </references>
      </pivotArea>
    </format>
    <format dxfId="36">
      <pivotArea type="origin" dataOnly="0" labelOnly="1" outline="0" fieldPosition="0"/>
    </format>
    <format dxfId="35">
      <pivotArea field="5" type="button" dataOnly="0" labelOnly="1" outline="0" axis="axisRow" fieldPosition="0"/>
    </format>
    <format dxfId="34">
      <pivotArea field="8" type="button" dataOnly="0" labelOnly="1" outline="0" axis="axisCol" fieldPosition="0"/>
    </format>
    <format dxfId="33">
      <pivotArea field="-2" type="button" dataOnly="0" labelOnly="1" outline="0" axis="axisCol" fieldPosition="1"/>
    </format>
    <format dxfId="32">
      <pivotArea type="topRight" dataOnly="0" labelOnly="1" outline="0" fieldPosition="0"/>
    </format>
    <format dxfId="31">
      <pivotArea dataOnly="0" labelOnly="1" outline="0" fieldPosition="0">
        <references count="1">
          <reference field="8" count="0"/>
        </references>
      </pivotArea>
    </format>
    <format dxfId="30">
      <pivotArea dataOnly="0" labelOnly="1" outline="0" fieldPosition="0">
        <references count="2">
          <reference field="4294967294" count="2">
            <x v="0"/>
            <x v="1"/>
          </reference>
          <reference field="8" count="1" selected="0">
            <x v="0"/>
          </reference>
        </references>
      </pivotArea>
    </format>
    <format dxfId="29">
      <pivotArea dataOnly="0" labelOnly="1" outline="0" fieldPosition="0">
        <references count="2">
          <reference field="4294967294" count="2">
            <x v="0"/>
            <x v="1"/>
          </reference>
          <reference field="8" count="1" selected="0">
            <x v="1"/>
          </reference>
        </references>
      </pivotArea>
    </format>
    <format dxfId="28">
      <pivotArea type="origin" dataOnly="0" labelOnly="1" outline="0" fieldPosition="0"/>
    </format>
    <format dxfId="27">
      <pivotArea field="5" type="button" dataOnly="0" labelOnly="1" outline="0" axis="axisRow" fieldPosition="0"/>
    </format>
    <format dxfId="26">
      <pivotArea field="8" type="button" dataOnly="0" labelOnly="1" outline="0" axis="axisCol" fieldPosition="0"/>
    </format>
    <format dxfId="25">
      <pivotArea field="-2" type="button" dataOnly="0" labelOnly="1" outline="0" axis="axisCol" fieldPosition="1"/>
    </format>
    <format dxfId="24">
      <pivotArea type="topRight" dataOnly="0" labelOnly="1" outline="0" fieldPosition="0"/>
    </format>
    <format dxfId="23">
      <pivotArea dataOnly="0" labelOnly="1" outline="0" fieldPosition="0">
        <references count="1">
          <reference field="8" count="0"/>
        </references>
      </pivotArea>
    </format>
    <format dxfId="22">
      <pivotArea dataOnly="0" labelOnly="1" outline="0" fieldPosition="0">
        <references count="2">
          <reference field="4294967294" count="2">
            <x v="0"/>
            <x v="1"/>
          </reference>
          <reference field="8" count="1" selected="0">
            <x v="0"/>
          </reference>
        </references>
      </pivotArea>
    </format>
    <format dxfId="21">
      <pivotArea dataOnly="0" labelOnly="1" outline="0" fieldPosition="0">
        <references count="2">
          <reference field="4294967294" count="2">
            <x v="0"/>
            <x v="1"/>
          </reference>
          <reference field="8" count="1" selected="0">
            <x v="1"/>
          </reference>
        </references>
      </pivotArea>
    </format>
    <format dxfId="20">
      <pivotArea dataOnly="0" labelOnly="1" outline="0" fieldPosition="0">
        <references count="2">
          <reference field="4294967294" count="1">
            <x v="0"/>
          </reference>
          <reference field="8" count="1" selected="0">
            <x v="2"/>
          </reference>
        </references>
      </pivotArea>
    </format>
    <format dxfId="19">
      <pivotArea field="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4" cacheId="0" dataPosition="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chartFormat="7" rowHeaderCaption="Review quarters">
  <location ref="K9:N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2">
        <item m="1" x="17"/>
        <item m="1" x="36"/>
        <item m="1" x="30"/>
        <item m="1" x="24"/>
        <item m="1" x="18"/>
        <item m="1" x="37"/>
        <item m="1" x="31"/>
        <item m="1" x="25"/>
        <item m="1" x="19"/>
        <item m="1" x="38"/>
        <item m="1" x="32"/>
        <item m="1" x="26"/>
        <item m="1" x="20"/>
        <item m="1" x="39"/>
        <item m="1" x="33"/>
        <item m="1" x="27"/>
        <item m="1" x="21"/>
        <item m="1" x="40"/>
        <item m="1" x="34"/>
        <item m="1" x="28"/>
        <item m="1" x="22"/>
        <item m="1" x="41"/>
        <item m="1" x="35"/>
        <item m="1" x="29"/>
        <item m="1" x="23"/>
        <item m="1" x="16"/>
        <item m="1" x="15"/>
        <item m="1" x="14"/>
        <item m="1" x="13"/>
        <item m="1" x="12"/>
        <item m="1" x="11"/>
        <item m="1" x="10"/>
        <item m="1" x="9"/>
        <item m="1" x="8"/>
        <item x="0"/>
        <item x="1"/>
        <item x="2"/>
        <item x="3"/>
        <item x="4"/>
        <item x="5"/>
        <item x="6"/>
        <item x="7"/>
      </items>
    </pivotField>
    <pivotField showAll="0"/>
    <pivotField showAll="0" defaultSubtotal="0"/>
    <pivotField showAll="0">
      <items count="4">
        <item h="1" x="1"/>
        <item h="1" m="1" x="2"/>
        <item x="0"/>
        <item t="default"/>
      </items>
    </pivotField>
    <pivotField showAll="0"/>
    <pivotField showAll="0"/>
    <pivotField showAll="0"/>
    <pivotField showAll="0"/>
    <pivotField showAll="0"/>
    <pivotField showAll="0" defaultSubtotal="0"/>
    <pivotField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5"/>
  </rowFields>
  <rowItems count="4">
    <i>
      <x v="38"/>
    </i>
    <i>
      <x v="39"/>
    </i>
    <i>
      <x v="40"/>
    </i>
    <i>
      <x v="41"/>
    </i>
  </rowItems>
  <colFields count="1">
    <field x="-2"/>
  </colFields>
  <colItems count="3">
    <i>
      <x/>
    </i>
    <i i="1">
      <x v="1"/>
    </i>
    <i i="2">
      <x v="2"/>
    </i>
  </colItems>
  <dataFields count="3">
    <dataField name="Published estimate as % of final count" fld="16" baseField="5" baseItem="6" numFmtId="167"/>
    <dataField name="Model estimate as % of final count  " fld="22" baseField="5" baseItem="6" numFmtId="167"/>
    <dataField name="Final count (100%)" fld="17" baseField="5" baseItem="6" numFmtId="9"/>
  </dataFields>
  <formats count="14">
    <format dxfId="60">
      <pivotArea field="5" type="button" dataOnly="0" labelOnly="1" outline="0" axis="axisRow" fieldPosition="0"/>
    </format>
    <format dxfId="59">
      <pivotArea dataOnly="0" labelOnly="1" outline="0" fieldPosition="0">
        <references count="1">
          <reference field="4294967294" count="2">
            <x v="0"/>
            <x v="2"/>
          </reference>
        </references>
      </pivotArea>
    </format>
    <format dxfId="58">
      <pivotArea field="5" type="button" dataOnly="0" labelOnly="1" outline="0" axis="axisRow" fieldPosition="0"/>
    </format>
    <format dxfId="57">
      <pivotArea dataOnly="0" labelOnly="1" outline="0" fieldPosition="0">
        <references count="1">
          <reference field="4294967294" count="2">
            <x v="0"/>
            <x v="2"/>
          </reference>
        </references>
      </pivotArea>
    </format>
    <format dxfId="56">
      <pivotArea field="5" type="button" dataOnly="0" labelOnly="1" outline="0" axis="axisRow" fieldPosition="0"/>
    </format>
    <format dxfId="55">
      <pivotArea dataOnly="0" labelOnly="1" outline="0" fieldPosition="0">
        <references count="1">
          <reference field="4294967294" count="2">
            <x v="0"/>
            <x v="2"/>
          </reference>
        </references>
      </pivotArea>
    </format>
    <format dxfId="54">
      <pivotArea collapsedLevelsAreSubtotals="1" fieldPosition="0">
        <references count="1">
          <reference field="5" count="1">
            <x v="8"/>
          </reference>
        </references>
      </pivotArea>
    </format>
    <format dxfId="53">
      <pivotArea outline="0" collapsedLevelsAreSubtotals="1" fieldPosition="0"/>
    </format>
    <format dxfId="52">
      <pivotArea dataOnly="0" labelOnly="1" fieldPosition="0">
        <references count="1">
          <reference field="5" count="0"/>
        </references>
      </pivotArea>
    </format>
    <format dxfId="51">
      <pivotArea dataOnly="0" labelOnly="1" outline="0" fieldPosition="0">
        <references count="1">
          <reference field="4294967294" count="1">
            <x v="1"/>
          </reference>
        </references>
      </pivotArea>
    </format>
    <format dxfId="50">
      <pivotArea dataOnly="0" labelOnly="1" outline="0" fieldPosition="0">
        <references count="1">
          <reference field="4294967294" count="1">
            <x v="1"/>
          </reference>
        </references>
      </pivotArea>
    </format>
    <format dxfId="49">
      <pivotArea outline="0" fieldPosition="0">
        <references count="1">
          <reference field="4294967294" count="1">
            <x v="1"/>
          </reference>
        </references>
      </pivotArea>
    </format>
    <format dxfId="48">
      <pivotArea field="5" type="button" dataOnly="0" labelOnly="1" outline="0" axis="axisRow" fieldPosition="0"/>
    </format>
    <format dxfId="47">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chartFormat="8" rowHeaderCaption="Review quarters">
  <location ref="F9:I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2">
        <item m="1" x="17"/>
        <item m="1" x="36"/>
        <item m="1" x="30"/>
        <item m="1" x="24"/>
        <item m="1" x="18"/>
        <item m="1" x="37"/>
        <item m="1" x="31"/>
        <item m="1" x="25"/>
        <item m="1" x="19"/>
        <item m="1" x="38"/>
        <item m="1" x="32"/>
        <item m="1" x="26"/>
        <item m="1" x="20"/>
        <item m="1" x="39"/>
        <item m="1" x="33"/>
        <item m="1" x="27"/>
        <item m="1" x="21"/>
        <item m="1" x="40"/>
        <item m="1" x="34"/>
        <item m="1" x="28"/>
        <item m="1" x="22"/>
        <item m="1" x="41"/>
        <item m="1" x="35"/>
        <item m="1" x="29"/>
        <item m="1" x="23"/>
        <item m="1" x="16"/>
        <item m="1" x="15"/>
        <item m="1" x="14"/>
        <item m="1" x="13"/>
        <item m="1" x="12"/>
        <item m="1" x="11"/>
        <item m="1" x="10"/>
        <item m="1" x="9"/>
        <item m="1" x="8"/>
        <item x="0"/>
        <item x="1"/>
        <item x="2"/>
        <item x="3"/>
        <item x="4"/>
        <item x="5"/>
        <item x="6"/>
        <item x="7"/>
      </items>
    </pivotField>
    <pivotField dataField="1" showAll="0"/>
    <pivotField showAll="0" defaultSubtotal="0"/>
    <pivotField showAll="0">
      <items count="4">
        <item h="1" x="1"/>
        <item h="1" m="1" x="2"/>
        <item x="0"/>
        <item t="default"/>
      </items>
    </pivotField>
    <pivotField showAll="0"/>
    <pivotField showAll="0"/>
    <pivotField dataField="1" showAll="0"/>
    <pivotField showAll="0"/>
    <pivotField showAll="0"/>
    <pivotField dataField="1"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38"/>
    </i>
    <i>
      <x v="39"/>
    </i>
    <i>
      <x v="40"/>
    </i>
    <i>
      <x v="41"/>
    </i>
  </rowItems>
  <colFields count="1">
    <field x="-2"/>
  </colFields>
  <colItems count="3">
    <i>
      <x/>
    </i>
    <i i="1">
      <x v="1"/>
    </i>
    <i i="2">
      <x v="2"/>
    </i>
  </colItems>
  <dataFields count="3">
    <dataField name="Collected count from STAs" fld="14" baseField="5" baseItem="6"/>
    <dataField name="NCVER published estimate " fld="6" baseField="3" baseItem="0" numFmtId="3"/>
    <dataField name="Final count" fld="11" baseField="3" baseItem="0" numFmtId="3"/>
  </dataFields>
  <formats count="15">
    <format dxfId="75">
      <pivotArea dataOnly="0" labelOnly="1" fieldPosition="0">
        <references count="1">
          <reference field="5" count="1">
            <x v="0"/>
          </reference>
        </references>
      </pivotArea>
    </format>
    <format dxfId="74">
      <pivotArea field="5" type="button" dataOnly="0" labelOnly="1" outline="0" axis="axisRow" fieldPosition="0"/>
    </format>
    <format dxfId="73">
      <pivotArea dataOnly="0" labelOnly="1" outline="0" fieldPosition="0">
        <references count="1">
          <reference field="4294967294" count="2">
            <x v="1"/>
            <x v="2"/>
          </reference>
        </references>
      </pivotArea>
    </format>
    <format dxfId="72">
      <pivotArea field="5" type="button" dataOnly="0" labelOnly="1" outline="0" axis="axisRow" fieldPosition="0"/>
    </format>
    <format dxfId="71">
      <pivotArea dataOnly="0" labelOnly="1" outline="0" fieldPosition="0">
        <references count="1">
          <reference field="4294967294" count="2">
            <x v="1"/>
            <x v="2"/>
          </reference>
        </references>
      </pivotArea>
    </format>
    <format dxfId="70">
      <pivotArea field="5" type="button" dataOnly="0" labelOnly="1" outline="0" axis="axisRow" fieldPosition="0"/>
    </format>
    <format dxfId="69">
      <pivotArea dataOnly="0" labelOnly="1" outline="0" fieldPosition="0">
        <references count="1">
          <reference field="4294967294" count="2">
            <x v="1"/>
            <x v="2"/>
          </reference>
        </references>
      </pivotArea>
    </format>
    <format dxfId="68">
      <pivotArea collapsedLevelsAreSubtotals="1" fieldPosition="0">
        <references count="1">
          <reference field="5" count="1">
            <x v="8"/>
          </reference>
        </references>
      </pivotArea>
    </format>
    <format dxfId="67">
      <pivotArea outline="0" collapsedLevelsAreSubtotals="1" fieldPosition="0"/>
    </format>
    <format dxfId="66">
      <pivotArea dataOnly="0" labelOnly="1" fieldPosition="0">
        <references count="1">
          <reference field="5" count="0"/>
        </references>
      </pivotArea>
    </format>
    <format dxfId="65">
      <pivotArea field="5" type="button" dataOnly="0" labelOnly="1" outline="0" axis="axisRow" fieldPosition="0"/>
    </format>
    <format dxfId="64">
      <pivotArea dataOnly="0" labelOnly="1" outline="0" fieldPosition="0">
        <references count="1">
          <reference field="4294967294" count="1">
            <x v="0"/>
          </reference>
        </references>
      </pivotArea>
    </format>
    <format dxfId="63">
      <pivotArea dataOnly="0" labelOnly="1" outline="0" fieldPosition="0">
        <references count="1">
          <reference field="4294967294" count="1">
            <x v="0"/>
          </reference>
        </references>
      </pivotArea>
    </format>
    <format dxfId="62">
      <pivotArea field="5" type="button" dataOnly="0" labelOnly="1" outline="0" axis="axisRow" fieldPosition="0"/>
    </format>
    <format dxfId="61">
      <pivotArea dataOnly="0" labelOnly="1" outline="0" fieldPosition="0">
        <references count="1">
          <reference field="4294967294" count="3">
            <x v="0"/>
            <x v="1"/>
            <x v="2"/>
          </reference>
        </references>
      </pivotArea>
    </format>
  </formats>
  <chartFormats count="2">
    <chartFormat chart="1" format="0" series="1">
      <pivotArea type="data" outline="0" fieldPosition="0">
        <references count="1">
          <reference field="4294967294" count="1" selected="0">
            <x v="1"/>
          </reference>
        </references>
      </pivotArea>
    </chartFormat>
    <chartFormat chart="1" format="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1000000}" sourceName="State">
  <pivotTables>
    <pivotTable tabId="14" name="PivotTable2"/>
    <pivotTable tabId="14" name="PivotTable3"/>
    <pivotTable tabId="14" name="PivotTable4"/>
    <pivotTable tabId="14" name="PivotTable5"/>
    <pivotTable tabId="14" name="PivotTable6"/>
  </pivotTables>
  <data>
    <tabular pivotCacheId="3" showMissing="0">
      <items count="9">
        <i x="0" s="1"/>
        <i x="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2000000}" sourceName="type">
  <pivotTables>
    <pivotTable tabId="14" name="PivotTable2"/>
    <pivotTable tabId="14" name="PivotTable3"/>
    <pivotTable tabId="14" name="PivotTable4"/>
    <pivotTable tabId="14" name="PivotTable6"/>
  </pivotTables>
  <data>
    <tabular pivotCacheId="3" sortOrder="descending" showMissing="0">
      <items count="3">
        <i x="0" s="1"/>
        <i x="1"/>
        <i x="2"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 xr10:uid="{00000000-0013-0000-FFFF-FFFF03000000}" sourceName="contract">
  <pivotTables>
    <pivotTable tabId="14" name="PivotTable2"/>
    <pivotTable tabId="14" name="PivotTable3"/>
    <pivotTable tabId="14" name="PivotTable4"/>
    <pivotTable tabId="14" name="PivotTable5"/>
    <pivotTable tabId="14" name="PivotTable6"/>
  </pivotTables>
  <data>
    <tabular pivotCacheId="3" customListSort="0" showMissing="0">
      <items count="8">
        <i x="0"/>
        <i x="1" s="1"/>
        <i x="2"/>
        <i x="3"/>
        <i x="7" nd="1"/>
        <i x="4" nd="1"/>
        <i x="6" nd="1"/>
        <i x="5"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iew_quarter" xr10:uid="{00000000-0013-0000-FFFF-FFFF04000000}" sourceName="review_quarter">
  <pivotTables>
    <pivotTable tabId="14" name="PivotTable2"/>
    <pivotTable tabId="14" name="PivotTable3"/>
    <pivotTable tabId="14" name="PivotTable4"/>
    <pivotTable tabId="14" name="PivotTable5"/>
    <pivotTable tabId="14" name="PivotTable6"/>
  </pivotTables>
  <data>
    <tabular pivotCacheId="3" showMissing="0">
      <items count="42">
        <i x="4" s="1"/>
        <i x="5" s="1"/>
        <i x="6" s="1"/>
        <i x="7" s="1"/>
        <i x="0" s="1" nd="1"/>
        <i x="1" s="1" nd="1"/>
        <i x="2" s="1" nd="1"/>
        <i x="3" s="1" nd="1"/>
        <i x="17" s="1" nd="1"/>
        <i x="36" s="1" nd="1"/>
        <i x="30" s="1" nd="1"/>
        <i x="24" s="1" nd="1"/>
        <i x="18" s="1" nd="1"/>
        <i x="37" s="1" nd="1"/>
        <i x="31" s="1" nd="1"/>
        <i x="25" s="1" nd="1"/>
        <i x="19" s="1" nd="1"/>
        <i x="38" s="1" nd="1"/>
        <i x="32" s="1" nd="1"/>
        <i x="26" s="1" nd="1"/>
        <i x="20" s="1" nd="1"/>
        <i x="39" s="1" nd="1"/>
        <i x="33" s="1" nd="1"/>
        <i x="27" s="1" nd="1"/>
        <i x="21" s="1" nd="1"/>
        <i x="40" s="1" nd="1"/>
        <i x="34" s="1" nd="1"/>
        <i x="28" s="1" nd="1"/>
        <i x="22" s="1" nd="1"/>
        <i x="41" s="1" nd="1"/>
        <i x="35" s="1" nd="1"/>
        <i x="29" s="1" nd="1"/>
        <i x="23" s="1" nd="1"/>
        <i x="16" s="1" nd="1"/>
        <i x="15" s="1" nd="1"/>
        <i x="14" s="1" nd="1"/>
        <i x="13" s="1" nd="1"/>
        <i x="12" s="1" nd="1"/>
        <i x="11" s="1" nd="1"/>
        <i x="10" s="1" nd="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00000000-0014-0000-FFFF-FFFF01000000}" cache="Slicer_State" caption="State or territory" style="SlicerStyleLight1 2" rowHeight="241300"/>
  <slicer name="Estimate type 1" xr10:uid="{00000000-0014-0000-FFFF-FFFF02000000}" cache="Slicer_type" caption="Estimate type" rowHeight="241300"/>
  <slicer name="Contract status" xr10:uid="{00000000-0014-0000-FFFF-FFFF03000000}" cache="Slicer_contract" caption="Contract status" style="SlicerStyleLight1 2" rowHeight="241300"/>
  <slicer name="review_quarter" xr10:uid="{00000000-0014-0000-FFFF-FFFF04000000}" cache="Slicer_review_quarter" caption="Review quarters" style="SlicerStyleLight1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0FB970-746B-459D-9AD8-94919BD79EBC}" name="Table1" displayName="Table1" ref="B1:Q289" totalsRowShown="0" tableBorderDxfId="92">
  <autoFilter ref="B1:Q289" xr:uid="{EC0FB970-746B-459D-9AD8-94919BD79EBC}"/>
  <tableColumns count="16">
    <tableColumn id="1" xr3:uid="{B0393264-F7A2-4743-97CD-9D726E24F807}" name=" " dataDxfId="91"/>
    <tableColumn id="2" xr3:uid="{22B76E1A-F88D-4CAA-89ED-1F49341B0982}" name="State" dataDxfId="90"/>
    <tableColumn id="3" xr3:uid="{D6825E9D-E1B6-4B62-9411-288993D385B7}" name="contract" dataDxfId="89"/>
    <tableColumn id="4" xr3:uid="{34C33F37-9A62-4316-BB8B-6D3C4399546F}" name="collection_quarter" dataDxfId="88"/>
    <tableColumn id="5" xr3:uid="{0E322B0C-7ABA-4D17-8112-40C5BF0276CC}" name="collection_number" dataDxfId="87"/>
    <tableColumn id="6" xr3:uid="{8BDCF4C5-52E4-429B-B7F3-3D3619E1A490}" name="review_quarter" dataDxfId="86"/>
    <tableColumn id="7" xr3:uid="{EB6AB945-67EB-4B3F-A218-7FFD511AD467}" name="Estimate" dataDxfId="85"/>
    <tableColumn id="8" xr3:uid="{34C52224-8378-4243-8949-1A19FD68FC3C}" name="model" dataDxfId="84"/>
    <tableColumn id="9" xr3:uid="{944E97DF-0CD9-4E1C-B33C-C9E536FE23D4}" name="type" dataDxfId="83"/>
    <tableColumn id="10" xr3:uid="{9CE2665D-0C97-43CE-A19C-672B5B4660A2}" name="Low95" dataDxfId="82"/>
    <tableColumn id="11" xr3:uid="{A1E4801F-C255-43CD-BF3C-66E965ACAE5B}" name="High95" dataDxfId="81"/>
    <tableColumn id="12" xr3:uid="{8A02C6FD-0894-4755-96EE-FF7E0791B4C2}" name="final_count" dataDxfId="80"/>
    <tableColumn id="13" xr3:uid="{DF1F6B75-8B26-437A-A50F-210587DD21F6}" name="perc_of_final_count" dataDxfId="79"/>
    <tableColumn id="14" xr3:uid="{E0D00A9B-37A7-4230-945F-1E06823A5A5E}" name="count_in_PI" dataDxfId="78"/>
    <tableColumn id="15" xr3:uid="{DA93380E-3201-4F8D-86B3-BF22226E3BE3}" name="raw_value" dataDxfId="77"/>
    <tableColumn id="16" xr3:uid="{9851BBDF-555C-4F1E-90DD-814CB2E6D05A}" name="model_perc_final_count" dataDxfId="76"/>
  </tableColumns>
  <tableStyleInfo name="TableStyleLight18"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ver.edu.au/publications/publications/all-publications/a-guide-to-the-apprentices-and-trainees-estimates-review-dashboard" TargetMode="Externa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hyperlink" Target="http://www.ncver.edu.au/data/collection/apprentices-and-trainees-collection" TargetMode="External"/><Relationship Id="rId2" Type="http://schemas.openxmlformats.org/officeDocument/2006/relationships/hyperlink" Target="http://www.ncver.edu.au/data/collection/apprentices-and-trainees-collection"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hyperlink" Target="https://www.ncver.edu.au/publications/publications/all-publications/estimation-of-apprentice-and-trainee-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ncver.edu.au/publications/publications/all-publications/a-guide-to-the-apprentices-and-trainees-estimates-review-dashboard" TargetMode="External"/><Relationship Id="rId5" Type="http://schemas.microsoft.com/office/2007/relationships/slicer" Target="../slicers/slicer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K78"/>
  <sheetViews>
    <sheetView showGridLines="0" showRowColHeaders="0" tabSelected="1" zoomScaleNormal="100" workbookViewId="0">
      <selection activeCell="B2" sqref="B2:K3"/>
    </sheetView>
  </sheetViews>
  <sheetFormatPr defaultRowHeight="15" x14ac:dyDescent="0.25"/>
  <cols>
    <col min="1" max="1" width="2.42578125" customWidth="1"/>
    <col min="2" max="2" width="9.28515625" customWidth="1"/>
    <col min="3" max="3" width="7.85546875" customWidth="1"/>
    <col min="4" max="4" width="26.140625" customWidth="1"/>
    <col min="5" max="5" width="27.28515625" customWidth="1"/>
    <col min="6" max="6" width="4.5703125" customWidth="1"/>
    <col min="7" max="9" width="8.85546875" customWidth="1"/>
    <col min="10" max="10" width="10.28515625" bestFit="1" customWidth="1"/>
    <col min="11" max="11" width="22.140625" bestFit="1" customWidth="1"/>
    <col min="12" max="13" width="9.28515625" customWidth="1"/>
  </cols>
  <sheetData>
    <row r="1" spans="2:11" ht="9.75" customHeight="1" x14ac:dyDescent="0.25"/>
    <row r="2" spans="2:11" ht="17.25" customHeight="1" x14ac:dyDescent="0.25">
      <c r="B2" s="210" t="s">
        <v>116</v>
      </c>
      <c r="C2" s="210"/>
      <c r="D2" s="210"/>
      <c r="E2" s="210"/>
      <c r="F2" s="210"/>
      <c r="G2" s="210"/>
      <c r="H2" s="210"/>
      <c r="I2" s="210"/>
      <c r="J2" s="210"/>
      <c r="K2" s="210"/>
    </row>
    <row r="3" spans="2:11" ht="17.25" customHeight="1" x14ac:dyDescent="0.25">
      <c r="B3" s="210"/>
      <c r="C3" s="210"/>
      <c r="D3" s="210"/>
      <c r="E3" s="210"/>
      <c r="F3" s="210"/>
      <c r="G3" s="210"/>
      <c r="H3" s="210"/>
      <c r="I3" s="210"/>
      <c r="J3" s="210"/>
      <c r="K3" s="210"/>
    </row>
    <row r="4" spans="2:11" ht="9" customHeight="1" x14ac:dyDescent="0.25">
      <c r="B4" s="114"/>
      <c r="C4" s="114"/>
      <c r="D4" s="114"/>
      <c r="E4" s="114"/>
      <c r="F4" s="114"/>
      <c r="G4" s="114"/>
      <c r="H4" s="114"/>
      <c r="I4" s="114"/>
      <c r="J4" s="114"/>
      <c r="K4" s="114"/>
    </row>
    <row r="5" spans="2:11" ht="18.75" customHeight="1" x14ac:dyDescent="0.25">
      <c r="B5" s="211" t="s">
        <v>90</v>
      </c>
      <c r="C5" s="211"/>
      <c r="D5" s="211"/>
      <c r="E5" s="211"/>
      <c r="F5" s="211"/>
      <c r="G5" s="211"/>
      <c r="H5" s="211"/>
      <c r="I5" s="211"/>
      <c r="J5" s="211"/>
      <c r="K5" s="211"/>
    </row>
    <row r="6" spans="2:11" ht="9.75" customHeight="1" x14ac:dyDescent="0.25">
      <c r="B6" s="113"/>
      <c r="C6" s="113"/>
      <c r="D6" s="113"/>
      <c r="E6" s="113"/>
      <c r="F6" s="113"/>
      <c r="G6" s="113"/>
      <c r="H6" s="113"/>
      <c r="I6" s="113"/>
      <c r="J6" s="113"/>
      <c r="K6" s="113"/>
    </row>
    <row r="7" spans="2:11" ht="15" customHeight="1" x14ac:dyDescent="0.25">
      <c r="B7" s="201" t="s">
        <v>110</v>
      </c>
      <c r="C7" s="201"/>
      <c r="D7" s="201"/>
      <c r="E7" s="202" t="s">
        <v>107</v>
      </c>
      <c r="F7" s="202"/>
      <c r="G7" s="202"/>
      <c r="H7" s="202"/>
      <c r="I7" s="202"/>
      <c r="J7" s="202"/>
      <c r="K7" s="202"/>
    </row>
    <row r="8" spans="2:11" s="61" customFormat="1" ht="15" customHeight="1" x14ac:dyDescent="0.2">
      <c r="B8" s="201" t="s">
        <v>84</v>
      </c>
      <c r="C8" s="201"/>
      <c r="E8" s="203" t="s">
        <v>125</v>
      </c>
      <c r="F8" s="203"/>
      <c r="G8" s="203"/>
      <c r="H8" s="203"/>
      <c r="I8" s="203"/>
      <c r="J8" s="203"/>
      <c r="K8" s="203"/>
    </row>
    <row r="9" spans="2:11" s="61" customFormat="1" ht="15" customHeight="1" x14ac:dyDescent="0.2">
      <c r="B9" s="201" t="s">
        <v>103</v>
      </c>
      <c r="C9" s="201"/>
      <c r="E9" s="203" t="s">
        <v>108</v>
      </c>
      <c r="F9" s="203"/>
      <c r="G9" s="203"/>
      <c r="H9" s="203"/>
      <c r="I9" s="203"/>
      <c r="J9" s="203"/>
      <c r="K9" s="203"/>
    </row>
    <row r="10" spans="2:11" s="61" customFormat="1" ht="15" customHeight="1" x14ac:dyDescent="0.2">
      <c r="B10" s="201" t="s">
        <v>41</v>
      </c>
      <c r="C10" s="201"/>
      <c r="E10" s="203" t="s">
        <v>154</v>
      </c>
      <c r="F10" s="203"/>
      <c r="G10" s="203"/>
      <c r="H10" s="203"/>
      <c r="I10" s="203"/>
      <c r="J10" s="203"/>
      <c r="K10" s="203"/>
    </row>
    <row r="11" spans="2:11" s="61" customFormat="1" ht="9" customHeight="1" x14ac:dyDescent="0.2">
      <c r="B11" s="162"/>
      <c r="C11" s="162"/>
      <c r="D11" s="162"/>
      <c r="E11" s="111"/>
      <c r="F11" s="164"/>
      <c r="G11" s="111"/>
      <c r="H11" s="111"/>
      <c r="I11" s="111"/>
      <c r="J11" s="111"/>
    </row>
    <row r="12" spans="2:11" ht="18.75" customHeight="1" x14ac:dyDescent="0.25">
      <c r="B12" s="211" t="s">
        <v>127</v>
      </c>
      <c r="C12" s="211"/>
      <c r="D12" s="211"/>
      <c r="E12" s="211"/>
      <c r="F12" s="211"/>
      <c r="G12" s="211"/>
      <c r="H12" s="211"/>
      <c r="I12" s="211"/>
      <c r="J12" s="211"/>
      <c r="K12" s="211"/>
    </row>
    <row r="13" spans="2:11" ht="9" customHeight="1" x14ac:dyDescent="0.25"/>
    <row r="14" spans="2:11" s="61" customFormat="1" ht="15.75" customHeight="1" x14ac:dyDescent="0.2">
      <c r="B14" s="200" t="s">
        <v>142</v>
      </c>
      <c r="C14" s="200"/>
      <c r="D14" s="200"/>
      <c r="E14" s="200"/>
      <c r="F14" s="200"/>
      <c r="G14" s="200"/>
      <c r="H14" s="200"/>
      <c r="I14" s="200"/>
      <c r="J14" s="200"/>
      <c r="K14" s="200"/>
    </row>
    <row r="15" spans="2:11" s="61" customFormat="1" ht="15.75" customHeight="1" x14ac:dyDescent="0.2">
      <c r="B15" s="200"/>
      <c r="C15" s="200"/>
      <c r="D15" s="200"/>
      <c r="E15" s="200"/>
      <c r="F15" s="200"/>
      <c r="G15" s="200"/>
      <c r="H15" s="200"/>
      <c r="I15" s="200"/>
      <c r="J15" s="200"/>
      <c r="K15" s="200"/>
    </row>
    <row r="16" spans="2:11" s="61" customFormat="1" ht="15.75" customHeight="1" x14ac:dyDescent="0.2">
      <c r="B16" s="200"/>
      <c r="C16" s="200"/>
      <c r="D16" s="200"/>
      <c r="E16" s="200"/>
      <c r="F16" s="200"/>
      <c r="G16" s="200"/>
      <c r="H16" s="200"/>
      <c r="I16" s="200"/>
      <c r="J16" s="200"/>
      <c r="K16" s="200"/>
    </row>
    <row r="17" spans="2:11" s="61" customFormat="1" ht="15.75" customHeight="1" x14ac:dyDescent="0.2">
      <c r="B17" s="200"/>
      <c r="C17" s="200"/>
      <c r="D17" s="200"/>
      <c r="E17" s="200"/>
      <c r="F17" s="200"/>
      <c r="G17" s="200"/>
      <c r="H17" s="200"/>
      <c r="I17" s="200"/>
      <c r="J17" s="200"/>
      <c r="K17" s="200"/>
    </row>
    <row r="18" spans="2:11" s="61" customFormat="1" ht="15.75" customHeight="1" x14ac:dyDescent="0.2">
      <c r="B18" s="200"/>
      <c r="C18" s="200"/>
      <c r="D18" s="200"/>
      <c r="E18" s="200"/>
      <c r="F18" s="200"/>
      <c r="G18" s="200"/>
      <c r="H18" s="200"/>
      <c r="I18" s="200"/>
      <c r="J18" s="200"/>
      <c r="K18" s="200"/>
    </row>
    <row r="19" spans="2:11" s="61" customFormat="1" ht="15" customHeight="1" x14ac:dyDescent="0.2">
      <c r="B19" s="200"/>
      <c r="C19" s="200"/>
      <c r="D19" s="200"/>
      <c r="E19" s="200"/>
      <c r="F19" s="200"/>
      <c r="G19" s="200"/>
      <c r="H19" s="200"/>
      <c r="I19" s="200"/>
      <c r="J19" s="200"/>
      <c r="K19" s="200"/>
    </row>
    <row r="20" spans="2:11" s="61" customFormat="1" ht="21.75" customHeight="1" x14ac:dyDescent="0.2">
      <c r="B20" s="200"/>
      <c r="C20" s="200"/>
      <c r="D20" s="200"/>
      <c r="E20" s="200"/>
      <c r="F20" s="200"/>
      <c r="G20" s="200"/>
      <c r="H20" s="200"/>
      <c r="I20" s="200"/>
      <c r="J20" s="200"/>
      <c r="K20" s="200"/>
    </row>
    <row r="21" spans="2:11" s="61" customFormat="1" ht="15.75" customHeight="1" x14ac:dyDescent="0.2">
      <c r="B21" s="200"/>
      <c r="C21" s="200"/>
      <c r="D21" s="200"/>
      <c r="E21" s="200"/>
      <c r="F21" s="200"/>
      <c r="G21" s="200"/>
      <c r="H21" s="200"/>
      <c r="I21" s="200"/>
      <c r="J21" s="200"/>
      <c r="K21" s="200"/>
    </row>
    <row r="22" spans="2:11" s="61" customFormat="1" ht="25.15" customHeight="1" x14ac:dyDescent="0.2">
      <c r="B22" s="200"/>
      <c r="C22" s="200"/>
      <c r="D22" s="200"/>
      <c r="E22" s="200"/>
      <c r="F22" s="200"/>
      <c r="G22" s="200"/>
      <c r="H22" s="200"/>
      <c r="I22" s="200"/>
      <c r="J22" s="200"/>
      <c r="K22" s="200"/>
    </row>
    <row r="23" spans="2:11" s="61" customFormat="1" ht="12" customHeight="1" x14ac:dyDescent="0.2">
      <c r="B23" s="165"/>
      <c r="C23" s="165"/>
      <c r="D23" s="165"/>
      <c r="E23" s="165"/>
      <c r="F23" s="165"/>
      <c r="G23" s="165"/>
      <c r="H23" s="165"/>
      <c r="I23" s="165"/>
      <c r="J23" s="165"/>
      <c r="K23" s="165"/>
    </row>
    <row r="24" spans="2:11" s="61" customFormat="1" ht="15.75" customHeight="1" x14ac:dyDescent="0.2">
      <c r="B24" s="165"/>
      <c r="C24" s="165"/>
      <c r="D24" s="165"/>
      <c r="E24" s="165"/>
      <c r="F24" s="165"/>
      <c r="G24" s="165"/>
      <c r="H24" s="165"/>
      <c r="I24" s="165"/>
      <c r="J24" s="165"/>
      <c r="K24" s="165"/>
    </row>
    <row r="25" spans="2:11" s="61" customFormat="1" ht="15.75" customHeight="1" x14ac:dyDescent="0.2">
      <c r="B25" s="165"/>
      <c r="C25" s="165"/>
      <c r="D25" s="165"/>
      <c r="E25" s="165"/>
      <c r="F25" s="165"/>
      <c r="G25" s="165"/>
      <c r="H25" s="165"/>
      <c r="I25" s="165"/>
      <c r="J25" s="165"/>
      <c r="K25" s="165"/>
    </row>
    <row r="26" spans="2:11" s="61" customFormat="1" ht="15.75" customHeight="1" x14ac:dyDescent="0.2">
      <c r="B26" s="165"/>
      <c r="C26" s="165"/>
      <c r="D26" s="165"/>
      <c r="E26" s="165"/>
      <c r="F26" s="165"/>
      <c r="G26" s="213" t="s">
        <v>135</v>
      </c>
      <c r="H26" s="213"/>
      <c r="I26" s="213"/>
      <c r="J26" s="213"/>
      <c r="K26" s="213"/>
    </row>
    <row r="27" spans="2:11" s="61" customFormat="1" ht="15.75" customHeight="1" x14ac:dyDescent="0.2">
      <c r="B27" s="165"/>
      <c r="C27" s="165"/>
      <c r="D27" s="165"/>
      <c r="E27" s="165"/>
      <c r="F27" s="165"/>
      <c r="G27" s="204" t="s">
        <v>137</v>
      </c>
      <c r="H27" s="204" t="s">
        <v>32</v>
      </c>
      <c r="I27" s="204" t="s">
        <v>138</v>
      </c>
      <c r="J27" s="204" t="s">
        <v>23</v>
      </c>
      <c r="K27" s="206" t="s">
        <v>140</v>
      </c>
    </row>
    <row r="28" spans="2:11" s="61" customFormat="1" ht="15.75" customHeight="1" x14ac:dyDescent="0.2">
      <c r="B28" s="165"/>
      <c r="C28" s="165"/>
      <c r="D28" s="165"/>
      <c r="E28" s="165"/>
      <c r="F28" s="165"/>
      <c r="G28" s="205"/>
      <c r="H28" s="205"/>
      <c r="I28" s="205"/>
      <c r="J28" s="205"/>
      <c r="K28" s="207"/>
    </row>
    <row r="29" spans="2:11" s="61" customFormat="1" ht="15.75" customHeight="1" x14ac:dyDescent="0.2">
      <c r="B29" s="165"/>
      <c r="C29" s="165"/>
      <c r="D29" s="165"/>
      <c r="E29" s="165"/>
      <c r="F29" s="165"/>
      <c r="G29" s="173">
        <v>1</v>
      </c>
      <c r="H29" s="174">
        <v>89</v>
      </c>
      <c r="I29" s="182" t="s">
        <v>155</v>
      </c>
      <c r="J29" s="183" t="s">
        <v>136</v>
      </c>
      <c r="K29" s="175"/>
    </row>
    <row r="30" spans="2:11" s="61" customFormat="1" ht="15.75" customHeight="1" x14ac:dyDescent="0.2">
      <c r="B30" s="165"/>
      <c r="C30" s="165"/>
      <c r="D30" s="165"/>
      <c r="E30" s="165"/>
      <c r="F30" s="165"/>
      <c r="G30" s="176">
        <v>2</v>
      </c>
      <c r="H30" s="177">
        <v>90</v>
      </c>
      <c r="I30" s="184" t="s">
        <v>156</v>
      </c>
      <c r="J30" s="184" t="s">
        <v>160</v>
      </c>
      <c r="K30" s="171" t="s">
        <v>100</v>
      </c>
    </row>
    <row r="31" spans="2:11" s="61" customFormat="1" ht="15.75" customHeight="1" x14ac:dyDescent="0.2">
      <c r="B31" s="165"/>
      <c r="C31" s="165"/>
      <c r="D31" s="165"/>
      <c r="E31" s="165"/>
      <c r="F31" s="165"/>
      <c r="G31" s="176">
        <v>3</v>
      </c>
      <c r="H31" s="177">
        <v>91</v>
      </c>
      <c r="I31" s="184" t="s">
        <v>157</v>
      </c>
      <c r="J31" s="184" t="s">
        <v>161</v>
      </c>
      <c r="K31" s="171" t="s">
        <v>101</v>
      </c>
    </row>
    <row r="32" spans="2:11" s="61" customFormat="1" ht="15.75" customHeight="1" x14ac:dyDescent="0.2">
      <c r="B32" s="165"/>
      <c r="C32" s="165"/>
      <c r="D32" s="165"/>
      <c r="E32" s="165"/>
      <c r="F32" s="165"/>
      <c r="G32" s="176">
        <v>4</v>
      </c>
      <c r="H32" s="177">
        <v>92</v>
      </c>
      <c r="I32" s="184" t="s">
        <v>158</v>
      </c>
      <c r="J32" s="184" t="s">
        <v>162</v>
      </c>
      <c r="K32" s="171" t="s">
        <v>139</v>
      </c>
    </row>
    <row r="33" spans="2:11" s="61" customFormat="1" ht="15.75" customHeight="1" x14ac:dyDescent="0.2">
      <c r="B33" s="165"/>
      <c r="C33" s="165"/>
      <c r="D33" s="165"/>
      <c r="E33" s="165"/>
      <c r="F33" s="165"/>
      <c r="G33" s="178">
        <v>5</v>
      </c>
      <c r="H33" s="179">
        <v>93</v>
      </c>
      <c r="I33" s="185" t="s">
        <v>159</v>
      </c>
      <c r="J33" s="185" t="s">
        <v>159</v>
      </c>
      <c r="K33" s="172" t="s">
        <v>24</v>
      </c>
    </row>
    <row r="34" spans="2:11" s="61" customFormat="1" ht="15.75" customHeight="1" x14ac:dyDescent="0.2">
      <c r="B34" s="165"/>
      <c r="C34" s="165"/>
      <c r="D34" s="165"/>
      <c r="E34" s="165"/>
      <c r="F34" s="165"/>
      <c r="G34" s="165"/>
      <c r="H34" s="165"/>
      <c r="I34" s="165"/>
      <c r="J34" s="165"/>
      <c r="K34" s="165"/>
    </row>
    <row r="35" spans="2:11" s="61" customFormat="1" ht="15.75" customHeight="1" x14ac:dyDescent="0.2">
      <c r="B35" s="165"/>
      <c r="C35" s="165"/>
      <c r="D35" s="165"/>
      <c r="E35" s="165"/>
      <c r="F35" s="165"/>
      <c r="G35" s="165"/>
      <c r="H35" s="165"/>
      <c r="I35" s="165"/>
      <c r="J35" s="165"/>
      <c r="K35" s="165"/>
    </row>
    <row r="36" spans="2:11" s="61" customFormat="1" ht="15.75" customHeight="1" x14ac:dyDescent="0.2">
      <c r="B36" s="165"/>
      <c r="C36" s="165"/>
      <c r="D36" s="165"/>
      <c r="E36" s="165"/>
      <c r="F36" s="165"/>
      <c r="G36" s="165"/>
      <c r="H36" s="165"/>
      <c r="I36" s="165"/>
      <c r="J36" s="165"/>
      <c r="K36" s="165"/>
    </row>
    <row r="37" spans="2:11" s="61" customFormat="1" ht="15.75" customHeight="1" x14ac:dyDescent="0.2">
      <c r="B37" s="165"/>
      <c r="C37" s="165"/>
      <c r="D37" s="165"/>
      <c r="E37" s="165"/>
      <c r="F37" s="165"/>
      <c r="G37" s="165"/>
      <c r="H37" s="165"/>
      <c r="I37" s="165"/>
      <c r="J37" s="165"/>
      <c r="K37" s="165"/>
    </row>
    <row r="38" spans="2:11" s="61" customFormat="1" ht="12" customHeight="1" x14ac:dyDescent="0.2">
      <c r="B38" s="165"/>
      <c r="C38" s="165"/>
      <c r="D38" s="165"/>
      <c r="E38" s="165"/>
      <c r="F38" s="165"/>
      <c r="G38" s="165"/>
      <c r="H38" s="165"/>
      <c r="I38" s="165"/>
      <c r="J38" s="165"/>
      <c r="K38" s="165"/>
    </row>
    <row r="39" spans="2:11" s="61" customFormat="1" ht="16.5" customHeight="1" x14ac:dyDescent="0.2">
      <c r="B39" s="200" t="s">
        <v>143</v>
      </c>
      <c r="C39" s="200"/>
      <c r="D39" s="200"/>
      <c r="E39" s="200"/>
      <c r="F39" s="200"/>
      <c r="G39" s="200"/>
      <c r="H39" s="200"/>
      <c r="I39" s="200"/>
      <c r="J39" s="200"/>
      <c r="K39" s="200"/>
    </row>
    <row r="40" spans="2:11" s="61" customFormat="1" ht="16.5" customHeight="1" x14ac:dyDescent="0.2">
      <c r="B40" s="200"/>
      <c r="C40" s="200"/>
      <c r="D40" s="200"/>
      <c r="E40" s="200"/>
      <c r="F40" s="200"/>
      <c r="G40" s="200"/>
      <c r="H40" s="200"/>
      <c r="I40" s="200"/>
      <c r="J40" s="200"/>
      <c r="K40" s="200"/>
    </row>
    <row r="41" spans="2:11" s="61" customFormat="1" ht="15.75" customHeight="1" x14ac:dyDescent="0.2">
      <c r="B41" s="200"/>
      <c r="C41" s="200"/>
      <c r="D41" s="200"/>
      <c r="E41" s="200"/>
      <c r="F41" s="200"/>
      <c r="G41" s="200"/>
      <c r="H41" s="200"/>
      <c r="I41" s="200"/>
      <c r="J41" s="200"/>
      <c r="K41" s="200"/>
    </row>
    <row r="42" spans="2:11" s="61" customFormat="1" ht="15.75" customHeight="1" x14ac:dyDescent="0.2">
      <c r="B42" s="200"/>
      <c r="C42" s="200"/>
      <c r="D42" s="200"/>
      <c r="E42" s="200"/>
      <c r="F42" s="200"/>
      <c r="G42" s="200"/>
      <c r="H42" s="200"/>
      <c r="I42" s="200"/>
      <c r="J42" s="200"/>
      <c r="K42" s="200"/>
    </row>
    <row r="43" spans="2:11" s="61" customFormat="1" ht="15.75" customHeight="1" x14ac:dyDescent="0.2">
      <c r="B43" s="200"/>
      <c r="C43" s="200"/>
      <c r="D43" s="200"/>
      <c r="E43" s="200"/>
      <c r="F43" s="200"/>
      <c r="G43" s="200"/>
      <c r="H43" s="200"/>
      <c r="I43" s="200"/>
      <c r="J43" s="200"/>
      <c r="K43" s="200"/>
    </row>
    <row r="44" spans="2:11" s="61" customFormat="1" ht="20.45" customHeight="1" x14ac:dyDescent="0.2">
      <c r="B44" s="200"/>
      <c r="C44" s="200"/>
      <c r="D44" s="200"/>
      <c r="E44" s="200"/>
      <c r="F44" s="200"/>
      <c r="G44" s="200"/>
      <c r="H44" s="200"/>
      <c r="I44" s="200"/>
      <c r="J44" s="200"/>
      <c r="K44" s="200"/>
    </row>
    <row r="45" spans="2:11" s="61" customFormat="1" ht="9" customHeight="1" x14ac:dyDescent="0.2">
      <c r="G45" s="163"/>
      <c r="H45" s="163"/>
      <c r="I45" s="163"/>
      <c r="J45" s="163"/>
      <c r="K45" s="163"/>
    </row>
    <row r="46" spans="2:11" s="61" customFormat="1" ht="18.75" customHeight="1" x14ac:dyDescent="0.2">
      <c r="B46" s="211" t="s">
        <v>128</v>
      </c>
      <c r="C46" s="211"/>
      <c r="D46" s="211"/>
      <c r="E46" s="211"/>
      <c r="F46" s="211"/>
      <c r="G46" s="211"/>
      <c r="H46" s="211"/>
      <c r="I46" s="211"/>
      <c r="J46" s="211"/>
      <c r="K46" s="211"/>
    </row>
    <row r="47" spans="2:11" s="61" customFormat="1" ht="9" customHeight="1" x14ac:dyDescent="0.25">
      <c r="B47"/>
      <c r="C47"/>
      <c r="D47"/>
      <c r="E47"/>
      <c r="F47"/>
      <c r="G47"/>
      <c r="H47"/>
      <c r="I47"/>
      <c r="J47"/>
      <c r="K47"/>
    </row>
    <row r="48" spans="2:11" s="61" customFormat="1" ht="15.75" customHeight="1" x14ac:dyDescent="0.2">
      <c r="B48" s="200" t="s">
        <v>152</v>
      </c>
      <c r="C48" s="200"/>
      <c r="D48" s="200"/>
      <c r="E48" s="200"/>
      <c r="F48" s="200"/>
      <c r="G48" s="200"/>
      <c r="H48" s="200"/>
      <c r="I48" s="200"/>
      <c r="J48" s="200"/>
      <c r="K48" s="200"/>
    </row>
    <row r="49" spans="2:11" s="61" customFormat="1" ht="15.75" customHeight="1" x14ac:dyDescent="0.2">
      <c r="B49" s="200"/>
      <c r="C49" s="200"/>
      <c r="D49" s="200"/>
      <c r="E49" s="200"/>
      <c r="F49" s="200"/>
      <c r="G49" s="200"/>
      <c r="H49" s="200"/>
      <c r="I49" s="200"/>
      <c r="J49" s="200"/>
      <c r="K49" s="200"/>
    </row>
    <row r="50" spans="2:11" s="61" customFormat="1" ht="15.75" customHeight="1" x14ac:dyDescent="0.2">
      <c r="B50" s="200"/>
      <c r="C50" s="200"/>
      <c r="D50" s="200"/>
      <c r="E50" s="200"/>
      <c r="F50" s="200"/>
      <c r="G50" s="200"/>
      <c r="H50" s="200"/>
      <c r="I50" s="200"/>
      <c r="J50" s="200"/>
      <c r="K50" s="200"/>
    </row>
    <row r="51" spans="2:11" s="61" customFormat="1" ht="15.75" customHeight="1" x14ac:dyDescent="0.2">
      <c r="B51" s="200"/>
      <c r="C51" s="200"/>
      <c r="D51" s="200"/>
      <c r="E51" s="200"/>
      <c r="F51" s="200"/>
      <c r="G51" s="200"/>
      <c r="H51" s="200"/>
      <c r="I51" s="200"/>
      <c r="J51" s="200"/>
      <c r="K51" s="200"/>
    </row>
    <row r="52" spans="2:11" s="61" customFormat="1" ht="15.75" customHeight="1" x14ac:dyDescent="0.2">
      <c r="B52" s="200"/>
      <c r="C52" s="200"/>
      <c r="D52" s="200"/>
      <c r="E52" s="200"/>
      <c r="F52" s="200"/>
      <c r="G52" s="200"/>
      <c r="H52" s="200"/>
      <c r="I52" s="200"/>
      <c r="J52" s="200"/>
      <c r="K52" s="200"/>
    </row>
    <row r="53" spans="2:11" s="61" customFormat="1" ht="15.75" customHeight="1" x14ac:dyDescent="0.2">
      <c r="B53" s="200"/>
      <c r="C53" s="200"/>
      <c r="D53" s="200"/>
      <c r="E53" s="200"/>
      <c r="F53" s="200"/>
      <c r="G53" s="200"/>
      <c r="H53" s="200"/>
      <c r="I53" s="200"/>
      <c r="J53" s="200"/>
      <c r="K53" s="200"/>
    </row>
    <row r="54" spans="2:11" s="61" customFormat="1" ht="15.75" customHeight="1" x14ac:dyDescent="0.2">
      <c r="B54" s="200"/>
      <c r="C54" s="200"/>
      <c r="D54" s="200"/>
      <c r="E54" s="200"/>
      <c r="F54" s="200"/>
      <c r="G54" s="200"/>
      <c r="H54" s="200"/>
      <c r="I54" s="200"/>
      <c r="J54" s="200"/>
      <c r="K54" s="200"/>
    </row>
    <row r="55" spans="2:11" s="61" customFormat="1" ht="15.75" customHeight="1" x14ac:dyDescent="0.2">
      <c r="B55" s="200"/>
      <c r="C55" s="200"/>
      <c r="D55" s="200"/>
      <c r="E55" s="200"/>
      <c r="F55" s="200"/>
      <c r="G55" s="200"/>
      <c r="H55" s="200"/>
      <c r="I55" s="200"/>
      <c r="J55" s="200"/>
      <c r="K55" s="200"/>
    </row>
    <row r="56" spans="2:11" s="61" customFormat="1" ht="15.75" customHeight="1" x14ac:dyDescent="0.2">
      <c r="B56" s="200"/>
      <c r="C56" s="200"/>
      <c r="D56" s="200"/>
      <c r="E56" s="200"/>
      <c r="F56" s="200"/>
      <c r="G56" s="200"/>
      <c r="H56" s="200"/>
      <c r="I56" s="200"/>
      <c r="J56" s="200"/>
      <c r="K56" s="200"/>
    </row>
    <row r="57" spans="2:11" s="61" customFormat="1" ht="15.75" customHeight="1" x14ac:dyDescent="0.2">
      <c r="B57" s="200"/>
      <c r="C57" s="200"/>
      <c r="D57" s="200"/>
      <c r="E57" s="200"/>
      <c r="F57" s="200"/>
      <c r="G57" s="200"/>
      <c r="H57" s="200"/>
      <c r="I57" s="200"/>
      <c r="J57" s="200"/>
      <c r="K57" s="200"/>
    </row>
    <row r="58" spans="2:11" s="61" customFormat="1" ht="9" customHeight="1" x14ac:dyDescent="0.2">
      <c r="B58" s="200"/>
      <c r="C58" s="200"/>
      <c r="D58" s="200"/>
      <c r="E58" s="200"/>
      <c r="F58" s="200"/>
      <c r="G58" s="200"/>
      <c r="H58" s="200"/>
      <c r="I58" s="200"/>
      <c r="J58" s="200"/>
      <c r="K58" s="200"/>
    </row>
    <row r="59" spans="2:11" s="61" customFormat="1" ht="25.9" customHeight="1" x14ac:dyDescent="0.2">
      <c r="B59" s="200"/>
      <c r="C59" s="200"/>
      <c r="D59" s="200"/>
      <c r="E59" s="200"/>
      <c r="F59" s="200"/>
      <c r="G59" s="200"/>
      <c r="H59" s="200"/>
      <c r="I59" s="200"/>
      <c r="J59" s="200"/>
      <c r="K59" s="200"/>
    </row>
    <row r="60" spans="2:11" s="61" customFormat="1" ht="14.25" customHeight="1" x14ac:dyDescent="0.2">
      <c r="B60" s="212" t="s">
        <v>151</v>
      </c>
      <c r="C60" s="212"/>
      <c r="D60" s="212"/>
      <c r="E60" s="212"/>
      <c r="F60" s="212"/>
      <c r="G60" s="212"/>
      <c r="H60" s="212"/>
      <c r="I60" s="212"/>
      <c r="J60" s="212"/>
      <c r="K60" s="212"/>
    </row>
    <row r="61" spans="2:11" s="61" customFormat="1" ht="9" customHeight="1" x14ac:dyDescent="0.2">
      <c r="B61" s="115"/>
      <c r="C61" s="115"/>
      <c r="D61" s="115"/>
      <c r="E61" s="115"/>
      <c r="F61" s="115"/>
      <c r="G61" s="115"/>
      <c r="H61" s="115"/>
      <c r="I61" s="115"/>
      <c r="J61" s="115"/>
      <c r="K61" s="115"/>
    </row>
    <row r="62" spans="2:11" ht="18" customHeight="1" x14ac:dyDescent="0.25">
      <c r="B62" s="211" t="s">
        <v>109</v>
      </c>
      <c r="C62" s="211"/>
      <c r="D62" s="211"/>
      <c r="E62" s="211"/>
      <c r="F62" s="211"/>
      <c r="G62" s="211"/>
      <c r="H62" s="211"/>
      <c r="I62" s="211"/>
      <c r="J62" s="211"/>
      <c r="K62" s="211"/>
    </row>
    <row r="63" spans="2:11" ht="9.75" customHeight="1" x14ac:dyDescent="0.25">
      <c r="B63" s="113"/>
      <c r="C63" s="113"/>
      <c r="D63" s="113"/>
      <c r="E63" s="113"/>
      <c r="F63" s="113"/>
      <c r="G63" s="113"/>
      <c r="H63" s="113"/>
      <c r="I63" s="113"/>
      <c r="J63" s="113"/>
      <c r="K63" s="113"/>
    </row>
    <row r="64" spans="2:11" ht="15.75" customHeight="1" x14ac:dyDescent="0.25">
      <c r="B64" s="200" t="s">
        <v>102</v>
      </c>
      <c r="C64" s="200"/>
      <c r="D64" s="200"/>
      <c r="E64" s="200"/>
      <c r="F64" s="200"/>
      <c r="G64" s="200"/>
      <c r="H64" s="200"/>
      <c r="I64" s="200"/>
      <c r="J64" s="200"/>
      <c r="K64" s="200"/>
    </row>
    <row r="65" spans="2:11" ht="15.75" customHeight="1" x14ac:dyDescent="0.25">
      <c r="B65" s="200"/>
      <c r="C65" s="200"/>
      <c r="D65" s="200"/>
      <c r="E65" s="200"/>
      <c r="F65" s="200"/>
      <c r="G65" s="200"/>
      <c r="H65" s="200"/>
      <c r="I65" s="200"/>
      <c r="J65" s="200"/>
      <c r="K65" s="200"/>
    </row>
    <row r="66" spans="2:11" ht="15.75" customHeight="1" x14ac:dyDescent="0.25">
      <c r="B66" s="200"/>
      <c r="C66" s="200"/>
      <c r="D66" s="200"/>
      <c r="E66" s="200"/>
      <c r="F66" s="200"/>
      <c r="G66" s="200"/>
      <c r="H66" s="200"/>
      <c r="I66" s="200"/>
      <c r="J66" s="200"/>
      <c r="K66" s="200"/>
    </row>
    <row r="67" spans="2:11" ht="15.75" customHeight="1" x14ac:dyDescent="0.25">
      <c r="B67" s="200"/>
      <c r="C67" s="200"/>
      <c r="D67" s="200"/>
      <c r="E67" s="200"/>
      <c r="F67" s="200"/>
      <c r="G67" s="200"/>
      <c r="H67" s="200"/>
      <c r="I67" s="200"/>
      <c r="J67" s="200"/>
      <c r="K67" s="200"/>
    </row>
    <row r="68" spans="2:11" ht="15.75" customHeight="1" x14ac:dyDescent="0.25">
      <c r="B68" s="200"/>
      <c r="C68" s="200"/>
      <c r="D68" s="200"/>
      <c r="E68" s="200"/>
      <c r="F68" s="200"/>
      <c r="G68" s="200"/>
      <c r="H68" s="200"/>
      <c r="I68" s="200"/>
      <c r="J68" s="200"/>
      <c r="K68" s="200"/>
    </row>
    <row r="69" spans="2:11" ht="12.75" customHeight="1" x14ac:dyDescent="0.25">
      <c r="B69" s="200"/>
      <c r="C69" s="200"/>
      <c r="D69" s="200"/>
      <c r="E69" s="200"/>
      <c r="F69" s="200"/>
      <c r="G69" s="200"/>
      <c r="H69" s="200"/>
      <c r="I69" s="200"/>
      <c r="J69" s="200"/>
      <c r="K69" s="200"/>
    </row>
    <row r="70" spans="2:11" ht="14.25" customHeight="1" x14ac:dyDescent="0.25">
      <c r="B70" s="118"/>
      <c r="C70" s="118"/>
      <c r="D70" s="118"/>
      <c r="E70" s="118"/>
      <c r="F70" s="118"/>
      <c r="G70" s="118"/>
      <c r="H70" s="118"/>
      <c r="I70" s="118"/>
      <c r="J70" s="118"/>
      <c r="K70" s="118"/>
    </row>
    <row r="71" spans="2:11" ht="14.25" customHeight="1" x14ac:dyDescent="0.25">
      <c r="B71" s="208" t="str">
        <f>TEXT('Review quarters'!C19,"mmm")&amp;"-"&amp;TEXT('Review quarters'!C19,"yyy")&amp;", "&amp;TEXT('Review quarters'!C20,"mmm")&amp;"-"&amp;TEXT('Review quarters'!C20,"yyy")&amp;", "&amp;TEXT('Review quarters'!C21,"mmm")&amp;"-"&amp;TEXT('Review quarters'!C21,"yyy")&amp;" and "&amp;TEXT('Review quarters'!C22,"mmm")&amp;"-"&amp;TEXT('Review quarters'!C22,"yyy")&amp;"."</f>
        <v>Dec-2023, Mar-2024, Jun-2024 and Sep-2024.</v>
      </c>
      <c r="C71" s="208"/>
      <c r="D71" s="208"/>
      <c r="E71" s="208"/>
      <c r="F71" s="208"/>
      <c r="G71" s="208"/>
      <c r="H71" s="208"/>
      <c r="I71" s="208"/>
      <c r="J71" s="208"/>
      <c r="K71" s="208"/>
    </row>
    <row r="72" spans="2:11" ht="14.25" customHeight="1" x14ac:dyDescent="0.25">
      <c r="B72" s="119"/>
      <c r="C72" s="118"/>
      <c r="D72" s="118"/>
      <c r="E72" s="118"/>
      <c r="F72" s="118"/>
      <c r="G72" s="118"/>
      <c r="H72" s="118"/>
      <c r="I72" s="118"/>
      <c r="J72" s="118"/>
      <c r="K72" s="118"/>
    </row>
    <row r="73" spans="2:11" ht="14.25" customHeight="1" x14ac:dyDescent="0.25">
      <c r="B73" s="209" t="s">
        <v>99</v>
      </c>
      <c r="C73" s="209"/>
      <c r="D73" s="209"/>
      <c r="E73" s="209"/>
      <c r="F73" s="209"/>
      <c r="G73" s="209"/>
      <c r="H73" s="209"/>
      <c r="I73" s="209"/>
      <c r="J73" s="209"/>
      <c r="K73" s="209"/>
    </row>
    <row r="74" spans="2:11" ht="14.25" customHeight="1" x14ac:dyDescent="0.25">
      <c r="B74" s="119"/>
      <c r="C74" s="118"/>
      <c r="D74" s="118"/>
      <c r="E74" s="118"/>
      <c r="F74" s="118"/>
      <c r="G74" s="118"/>
      <c r="H74" s="118"/>
      <c r="I74" s="118"/>
      <c r="J74" s="118"/>
      <c r="K74" s="118"/>
    </row>
    <row r="75" spans="2:11" ht="14.25" customHeight="1" x14ac:dyDescent="0.25">
      <c r="B75" s="208" t="str">
        <f>TEXT('Review quarters'!C29,"mmm")&amp;"-"&amp;TEXT('Review quarters'!C29,"yyy")&amp;", "&amp;TEXT('Review quarters'!C30,"mmm")&amp;"-"&amp;TEXT('Review quarters'!C30,"yyy")&amp;", "&amp;TEXT('Review quarters'!C31,"mmm")&amp;"-"&amp;TEXT('Review quarters'!C31,"yyy")&amp;" and "&amp;TEXT('Review quarters'!C32,"mmm")&amp;"-"&amp;TEXT('Review quarters'!C32,"yyy")&amp;"."</f>
        <v>Dec-2022, Mar-2023, Jun-2023 and Sep-2023.</v>
      </c>
      <c r="C75" s="208"/>
      <c r="D75" s="208"/>
      <c r="E75" s="208"/>
      <c r="F75" s="208"/>
      <c r="G75" s="208"/>
      <c r="H75" s="208"/>
      <c r="I75" s="208"/>
      <c r="J75" s="208"/>
      <c r="K75" s="208"/>
    </row>
    <row r="76" spans="2:11" ht="9.75" customHeight="1" x14ac:dyDescent="0.25">
      <c r="B76" s="113"/>
      <c r="C76" s="113"/>
      <c r="D76" s="113"/>
      <c r="E76" s="113"/>
      <c r="F76" s="113"/>
      <c r="G76" s="113"/>
      <c r="H76" s="113"/>
      <c r="I76" s="113"/>
      <c r="J76" s="113"/>
      <c r="K76" s="113"/>
    </row>
    <row r="77" spans="2:11" ht="4.5" customHeight="1" x14ac:dyDescent="0.25"/>
    <row r="78" spans="2:11" ht="15.75" customHeight="1" x14ac:dyDescent="0.25"/>
  </sheetData>
  <sheetProtection selectLockedCells="1"/>
  <mergeCells count="27">
    <mergeCell ref="B75:K75"/>
    <mergeCell ref="B64:K69"/>
    <mergeCell ref="B73:K73"/>
    <mergeCell ref="B2:K3"/>
    <mergeCell ref="B12:K12"/>
    <mergeCell ref="B62:K62"/>
    <mergeCell ref="B5:K5"/>
    <mergeCell ref="B8:C8"/>
    <mergeCell ref="B9:C9"/>
    <mergeCell ref="B10:C10"/>
    <mergeCell ref="B39:K44"/>
    <mergeCell ref="B60:K60"/>
    <mergeCell ref="B14:K22"/>
    <mergeCell ref="B46:K46"/>
    <mergeCell ref="B71:K71"/>
    <mergeCell ref="G26:K26"/>
    <mergeCell ref="B48:K59"/>
    <mergeCell ref="B7:D7"/>
    <mergeCell ref="E7:K7"/>
    <mergeCell ref="E8:K8"/>
    <mergeCell ref="E9:K9"/>
    <mergeCell ref="E10:K10"/>
    <mergeCell ref="G27:G28"/>
    <mergeCell ref="H27:H28"/>
    <mergeCell ref="I27:I28"/>
    <mergeCell ref="J27:J28"/>
    <mergeCell ref="K27:K28"/>
  </mergeCells>
  <hyperlinks>
    <hyperlink ref="B9" location="'Summary table'!A1" display="Summary" xr:uid="{00000000-0004-0000-0000-000000000000}"/>
    <hyperlink ref="B60" r:id="rId1" xr:uid="{00000000-0004-0000-0000-000001000000}"/>
    <hyperlink ref="B7:D7" location="'Glossary and explanatory notes'!A1" display="Glossary and explanatory notes" xr:uid="{00000000-0004-0000-0000-000002000000}"/>
    <hyperlink ref="B8:C8" location="DASHBOARD!A1" display="Dashboard" xr:uid="{00000000-0004-0000-0000-000003000000}"/>
    <hyperlink ref="B10:C10" location="'Review quarters'!A1" display="Review quarters" xr:uid="{00000000-0004-0000-0000-000004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0DD8-8BFE-4637-BDF8-D77DD860378C}">
  <sheetPr codeName="Sheet8"/>
  <dimension ref="A1:W420"/>
  <sheetViews>
    <sheetView topLeftCell="B1" zoomScale="90" zoomScaleNormal="90" workbookViewId="0"/>
  </sheetViews>
  <sheetFormatPr defaultRowHeight="15" x14ac:dyDescent="0.25"/>
  <cols>
    <col min="1" max="1" width="20.42578125" style="90" hidden="1" customWidth="1"/>
    <col min="2" max="2" width="4.42578125" bestFit="1" customWidth="1"/>
    <col min="3" max="3" width="24.7109375" bestFit="1" customWidth="1"/>
    <col min="4" max="4" width="24.28515625" bestFit="1" customWidth="1"/>
    <col min="5" max="5" width="19.7109375" bestFit="1" customWidth="1"/>
    <col min="6" max="6" width="20" bestFit="1" customWidth="1"/>
    <col min="7" max="7" width="17.28515625" bestFit="1" customWidth="1"/>
    <col min="8" max="8" width="13.28515625" bestFit="1" customWidth="1"/>
    <col min="9" max="9" width="9.140625" bestFit="1" customWidth="1"/>
    <col min="10" max="10" width="11.140625" bestFit="1" customWidth="1"/>
    <col min="11" max="11" width="9.28515625" bestFit="1" customWidth="1"/>
    <col min="12" max="12" width="9.7109375" bestFit="1" customWidth="1"/>
    <col min="13" max="13" width="13.28515625" bestFit="1" customWidth="1"/>
    <col min="14" max="14" width="20.85546875" bestFit="1" customWidth="1"/>
    <col min="15" max="15" width="13.7109375" bestFit="1" customWidth="1"/>
    <col min="16" max="16" width="12.5703125" bestFit="1" customWidth="1"/>
    <col min="17" max="17" width="24.7109375" bestFit="1" customWidth="1"/>
    <col min="18" max="18" width="6.42578125" hidden="1" customWidth="1"/>
    <col min="19" max="19" width="4.28515625" customWidth="1"/>
  </cols>
  <sheetData>
    <row r="1" spans="1:23" x14ac:dyDescent="0.25">
      <c r="A1" t="s">
        <v>29</v>
      </c>
      <c r="B1" t="s">
        <v>16</v>
      </c>
      <c r="C1" s="198" t="s">
        <v>22</v>
      </c>
      <c r="D1" s="198" t="s">
        <v>11</v>
      </c>
      <c r="E1" s="198" t="s">
        <v>17</v>
      </c>
      <c r="F1" s="198" t="s">
        <v>18</v>
      </c>
      <c r="G1" s="198" t="s">
        <v>71</v>
      </c>
      <c r="H1" s="198" t="s">
        <v>23</v>
      </c>
      <c r="I1" s="198" t="s">
        <v>55</v>
      </c>
      <c r="J1" s="198" t="s">
        <v>10</v>
      </c>
      <c r="K1" s="198" t="s">
        <v>47</v>
      </c>
      <c r="L1" s="198" t="s">
        <v>48</v>
      </c>
      <c r="M1" s="198" t="s">
        <v>19</v>
      </c>
      <c r="N1" s="198" t="s">
        <v>20</v>
      </c>
      <c r="O1" s="198" t="s">
        <v>25</v>
      </c>
      <c r="P1" s="198" t="s">
        <v>88</v>
      </c>
      <c r="Q1" s="198" t="s">
        <v>89</v>
      </c>
      <c r="R1" s="89" t="s">
        <v>28</v>
      </c>
    </row>
    <row r="2" spans="1:23" x14ac:dyDescent="0.25">
      <c r="A2" s="90" t="str">
        <f t="shared" ref="A2:A65" si="0">CONCATENATE(C2,D2,G2,J2)</f>
        <v>AustraliaCancellations/withdrawals44896Initial</v>
      </c>
      <c r="B2" s="199">
        <v>1</v>
      </c>
      <c r="C2" s="198" t="s">
        <v>1</v>
      </c>
      <c r="D2" s="198" t="s">
        <v>72</v>
      </c>
      <c r="E2">
        <v>2023.2</v>
      </c>
      <c r="F2">
        <v>115</v>
      </c>
      <c r="G2" s="65">
        <v>44896</v>
      </c>
      <c r="H2">
        <v>30095</v>
      </c>
      <c r="I2">
        <v>0</v>
      </c>
      <c r="J2" s="198" t="s">
        <v>30</v>
      </c>
      <c r="K2">
        <v>28209</v>
      </c>
      <c r="L2">
        <v>31981</v>
      </c>
      <c r="M2">
        <v>32198</v>
      </c>
      <c r="N2">
        <v>93.5</v>
      </c>
      <c r="O2" s="198" t="s">
        <v>26</v>
      </c>
      <c r="P2">
        <v>24685</v>
      </c>
      <c r="Q2">
        <v>0</v>
      </c>
      <c r="R2" s="90">
        <f>COUNT(B2:B1048576)</f>
        <v>288</v>
      </c>
      <c r="T2" s="214" t="s">
        <v>163</v>
      </c>
      <c r="U2" s="214"/>
      <c r="V2" s="214"/>
      <c r="W2" s="214"/>
    </row>
    <row r="3" spans="1:23" x14ac:dyDescent="0.25">
      <c r="A3" s="90" t="str">
        <f t="shared" si="0"/>
        <v>AustraliaCancellations/withdrawals448961st revision</v>
      </c>
      <c r="B3" s="199">
        <v>2</v>
      </c>
      <c r="C3" s="198" t="s">
        <v>1</v>
      </c>
      <c r="D3" s="198" t="s">
        <v>72</v>
      </c>
      <c r="E3">
        <v>2023.2</v>
      </c>
      <c r="F3">
        <v>116</v>
      </c>
      <c r="G3" s="65">
        <v>44896</v>
      </c>
      <c r="H3">
        <v>31638</v>
      </c>
      <c r="I3">
        <v>0</v>
      </c>
      <c r="J3" s="198" t="s">
        <v>0</v>
      </c>
      <c r="K3">
        <v>30763</v>
      </c>
      <c r="L3">
        <v>32513</v>
      </c>
      <c r="M3">
        <v>32198</v>
      </c>
      <c r="N3">
        <v>98.3</v>
      </c>
      <c r="O3" s="198" t="s">
        <v>26</v>
      </c>
      <c r="P3">
        <v>28587</v>
      </c>
      <c r="Q3">
        <v>0</v>
      </c>
      <c r="R3" s="91"/>
      <c r="T3" s="214"/>
      <c r="U3" s="214"/>
      <c r="V3" s="214"/>
      <c r="W3" s="214"/>
    </row>
    <row r="4" spans="1:23" x14ac:dyDescent="0.25">
      <c r="A4" s="90" t="str">
        <f t="shared" si="0"/>
        <v>AustraliaCancellations/withdrawals44986Initial</v>
      </c>
      <c r="B4" s="199">
        <v>3</v>
      </c>
      <c r="C4" s="198" t="s">
        <v>1</v>
      </c>
      <c r="D4" s="198" t="s">
        <v>72</v>
      </c>
      <c r="E4">
        <v>2023.3</v>
      </c>
      <c r="F4">
        <v>116</v>
      </c>
      <c r="G4" s="65">
        <v>44986</v>
      </c>
      <c r="H4">
        <v>32817.172402000004</v>
      </c>
      <c r="I4">
        <v>32530</v>
      </c>
      <c r="J4" s="198" t="s">
        <v>30</v>
      </c>
      <c r="K4">
        <v>30846</v>
      </c>
      <c r="L4">
        <v>34788</v>
      </c>
      <c r="M4">
        <v>32748</v>
      </c>
      <c r="N4">
        <v>100.2</v>
      </c>
      <c r="O4" s="198" t="s">
        <v>27</v>
      </c>
      <c r="P4">
        <v>26500</v>
      </c>
      <c r="Q4">
        <v>99.3</v>
      </c>
      <c r="R4" s="91"/>
    </row>
    <row r="5" spans="1:23" x14ac:dyDescent="0.25">
      <c r="A5" s="90" t="str">
        <f t="shared" si="0"/>
        <v>AustraliaCancellations/withdrawals449861st revision</v>
      </c>
      <c r="B5" s="199">
        <v>4</v>
      </c>
      <c r="C5" s="198" t="s">
        <v>1</v>
      </c>
      <c r="D5" s="198" t="s">
        <v>72</v>
      </c>
      <c r="E5">
        <v>2023.3</v>
      </c>
      <c r="F5">
        <v>117</v>
      </c>
      <c r="G5" s="65">
        <v>44986</v>
      </c>
      <c r="H5">
        <v>33060</v>
      </c>
      <c r="I5">
        <v>0</v>
      </c>
      <c r="J5" s="198" t="s">
        <v>0</v>
      </c>
      <c r="K5">
        <v>32356</v>
      </c>
      <c r="L5">
        <v>33764</v>
      </c>
      <c r="M5">
        <v>32748</v>
      </c>
      <c r="N5">
        <v>101</v>
      </c>
      <c r="O5" s="198" t="s">
        <v>27</v>
      </c>
      <c r="P5">
        <v>29796</v>
      </c>
      <c r="Q5">
        <v>0</v>
      </c>
      <c r="R5" s="91"/>
    </row>
    <row r="6" spans="1:23" x14ac:dyDescent="0.25">
      <c r="A6" s="90" t="str">
        <f t="shared" si="0"/>
        <v>AustraliaCancellations/withdrawals45078Initial</v>
      </c>
      <c r="B6" s="199">
        <v>5</v>
      </c>
      <c r="C6" s="198" t="s">
        <v>1</v>
      </c>
      <c r="D6" s="198" t="s">
        <v>72</v>
      </c>
      <c r="E6">
        <v>2023.4</v>
      </c>
      <c r="F6">
        <v>117</v>
      </c>
      <c r="G6" s="65">
        <v>45078</v>
      </c>
      <c r="H6">
        <v>31312</v>
      </c>
      <c r="I6">
        <v>0</v>
      </c>
      <c r="J6" s="198" t="s">
        <v>30</v>
      </c>
      <c r="K6">
        <v>29594</v>
      </c>
      <c r="L6">
        <v>33030</v>
      </c>
      <c r="M6">
        <v>30115</v>
      </c>
      <c r="N6">
        <v>104</v>
      </c>
      <c r="O6" s="198" t="s">
        <v>27</v>
      </c>
      <c r="P6">
        <v>25200</v>
      </c>
      <c r="Q6">
        <v>0</v>
      </c>
      <c r="R6" s="91"/>
    </row>
    <row r="7" spans="1:23" x14ac:dyDescent="0.25">
      <c r="A7" s="90" t="str">
        <f t="shared" si="0"/>
        <v>AustraliaCancellations/withdrawals450781st revision</v>
      </c>
      <c r="B7" s="199">
        <v>6</v>
      </c>
      <c r="C7" s="198" t="s">
        <v>1</v>
      </c>
      <c r="D7" s="198" t="s">
        <v>72</v>
      </c>
      <c r="E7">
        <v>2023.4</v>
      </c>
      <c r="F7">
        <v>118</v>
      </c>
      <c r="G7" s="65">
        <v>45078</v>
      </c>
      <c r="H7">
        <v>30607</v>
      </c>
      <c r="I7">
        <v>0</v>
      </c>
      <c r="J7" s="198" t="s">
        <v>0</v>
      </c>
      <c r="K7">
        <v>30076</v>
      </c>
      <c r="L7">
        <v>31138</v>
      </c>
      <c r="M7">
        <v>30115</v>
      </c>
      <c r="N7">
        <v>101.6</v>
      </c>
      <c r="O7" s="198" t="s">
        <v>27</v>
      </c>
      <c r="P7">
        <v>27442</v>
      </c>
      <c r="Q7">
        <v>0</v>
      </c>
      <c r="R7" s="91"/>
    </row>
    <row r="8" spans="1:23" x14ac:dyDescent="0.25">
      <c r="A8" s="90" t="str">
        <f t="shared" si="0"/>
        <v>AustraliaCancellations/withdrawals45170Initial</v>
      </c>
      <c r="B8" s="199">
        <v>7</v>
      </c>
      <c r="C8" s="198" t="s">
        <v>1</v>
      </c>
      <c r="D8" s="198" t="s">
        <v>72</v>
      </c>
      <c r="E8">
        <v>2024.1</v>
      </c>
      <c r="F8">
        <v>118</v>
      </c>
      <c r="G8" s="65">
        <v>45170</v>
      </c>
      <c r="H8">
        <v>30673</v>
      </c>
      <c r="I8">
        <v>0</v>
      </c>
      <c r="J8" s="198" t="s">
        <v>30</v>
      </c>
      <c r="K8">
        <v>29355</v>
      </c>
      <c r="L8">
        <v>31991</v>
      </c>
      <c r="M8">
        <v>29164</v>
      </c>
      <c r="N8">
        <v>105.2</v>
      </c>
      <c r="O8" s="198" t="s">
        <v>26</v>
      </c>
      <c r="P8">
        <v>24519</v>
      </c>
      <c r="Q8">
        <v>0</v>
      </c>
      <c r="R8" s="91"/>
    </row>
    <row r="9" spans="1:23" x14ac:dyDescent="0.25">
      <c r="A9" s="90" t="str">
        <f t="shared" si="0"/>
        <v>AustraliaCancellations/withdrawals451701st revision</v>
      </c>
      <c r="B9" s="199">
        <v>8</v>
      </c>
      <c r="C9" s="198" t="s">
        <v>1</v>
      </c>
      <c r="D9" s="198" t="s">
        <v>72</v>
      </c>
      <c r="E9">
        <v>2024.1</v>
      </c>
      <c r="F9">
        <v>119</v>
      </c>
      <c r="G9" s="65">
        <v>45170</v>
      </c>
      <c r="H9">
        <v>29970</v>
      </c>
      <c r="I9">
        <v>0</v>
      </c>
      <c r="J9" s="198" t="s">
        <v>0</v>
      </c>
      <c r="K9">
        <v>29441</v>
      </c>
      <c r="L9">
        <v>30499</v>
      </c>
      <c r="M9">
        <v>29164</v>
      </c>
      <c r="N9">
        <v>102.8</v>
      </c>
      <c r="O9" s="198" t="s">
        <v>26</v>
      </c>
      <c r="P9">
        <v>26818</v>
      </c>
      <c r="Q9">
        <v>0</v>
      </c>
      <c r="R9" s="91"/>
    </row>
    <row r="10" spans="1:23" x14ac:dyDescent="0.25">
      <c r="A10" s="90" t="str">
        <f t="shared" si="0"/>
        <v>AustraliaCommencements45261Initial</v>
      </c>
      <c r="B10" s="199">
        <v>9</v>
      </c>
      <c r="C10" s="198" t="s">
        <v>1</v>
      </c>
      <c r="D10" s="198" t="s">
        <v>73</v>
      </c>
      <c r="E10">
        <v>2024.2</v>
      </c>
      <c r="F10">
        <v>119</v>
      </c>
      <c r="G10" s="65">
        <v>45261</v>
      </c>
      <c r="H10">
        <v>35241</v>
      </c>
      <c r="I10">
        <v>35695</v>
      </c>
      <c r="J10" s="198" t="s">
        <v>30</v>
      </c>
      <c r="K10">
        <v>31578</v>
      </c>
      <c r="L10">
        <v>38904</v>
      </c>
      <c r="M10">
        <v>33193</v>
      </c>
      <c r="N10">
        <v>106.2</v>
      </c>
      <c r="O10" s="198" t="s">
        <v>27</v>
      </c>
      <c r="P10">
        <v>31989</v>
      </c>
      <c r="Q10">
        <v>107.5</v>
      </c>
      <c r="R10" s="91"/>
    </row>
    <row r="11" spans="1:23" x14ac:dyDescent="0.25">
      <c r="A11" s="90" t="str">
        <f t="shared" si="0"/>
        <v>AustraliaCommencements452611st revision</v>
      </c>
      <c r="B11" s="199">
        <v>10</v>
      </c>
      <c r="C11" s="198" t="s">
        <v>1</v>
      </c>
      <c r="D11" s="198" t="s">
        <v>73</v>
      </c>
      <c r="E11">
        <v>2024.2</v>
      </c>
      <c r="F11">
        <v>120</v>
      </c>
      <c r="G11" s="65">
        <v>45261</v>
      </c>
      <c r="H11">
        <v>33690</v>
      </c>
      <c r="I11">
        <v>0</v>
      </c>
      <c r="J11" s="198" t="s">
        <v>0</v>
      </c>
      <c r="K11">
        <v>33031</v>
      </c>
      <c r="L11">
        <v>34349</v>
      </c>
      <c r="M11">
        <v>33193</v>
      </c>
      <c r="N11">
        <v>101.5</v>
      </c>
      <c r="O11" s="198" t="s">
        <v>27</v>
      </c>
      <c r="P11">
        <v>33027</v>
      </c>
      <c r="Q11">
        <v>0</v>
      </c>
      <c r="R11" s="91"/>
    </row>
    <row r="12" spans="1:23" x14ac:dyDescent="0.25">
      <c r="A12" s="90" t="str">
        <f t="shared" si="0"/>
        <v>AustraliaCommencements45352Initial</v>
      </c>
      <c r="B12" s="199">
        <v>11</v>
      </c>
      <c r="C12" s="198" t="s">
        <v>1</v>
      </c>
      <c r="D12" s="198" t="s">
        <v>73</v>
      </c>
      <c r="E12">
        <v>2024.3</v>
      </c>
      <c r="F12">
        <v>120</v>
      </c>
      <c r="G12" s="65">
        <v>45352</v>
      </c>
      <c r="H12">
        <v>59685</v>
      </c>
      <c r="I12">
        <v>60508</v>
      </c>
      <c r="J12" s="198" t="s">
        <v>30</v>
      </c>
      <c r="K12">
        <v>53106</v>
      </c>
      <c r="L12">
        <v>66264</v>
      </c>
      <c r="M12">
        <v>55845</v>
      </c>
      <c r="N12">
        <v>106.9</v>
      </c>
      <c r="O12" s="198" t="s">
        <v>27</v>
      </c>
      <c r="P12">
        <v>54047</v>
      </c>
      <c r="Q12">
        <v>108.3</v>
      </c>
      <c r="R12" s="91"/>
    </row>
    <row r="13" spans="1:23" x14ac:dyDescent="0.25">
      <c r="A13" s="90" t="str">
        <f t="shared" si="0"/>
        <v>AustraliaCommencements453521st revision</v>
      </c>
      <c r="B13" s="199">
        <v>12</v>
      </c>
      <c r="C13" s="198" t="s">
        <v>1</v>
      </c>
      <c r="D13" s="198" t="s">
        <v>73</v>
      </c>
      <c r="E13">
        <v>2024.3</v>
      </c>
      <c r="F13">
        <v>121</v>
      </c>
      <c r="G13" s="65">
        <v>45352</v>
      </c>
      <c r="H13">
        <v>56715</v>
      </c>
      <c r="I13">
        <v>0</v>
      </c>
      <c r="J13" s="198" t="s">
        <v>0</v>
      </c>
      <c r="K13">
        <v>55472</v>
      </c>
      <c r="L13">
        <v>57958</v>
      </c>
      <c r="M13">
        <v>55845</v>
      </c>
      <c r="N13">
        <v>101.6</v>
      </c>
      <c r="O13" s="198" t="s">
        <v>27</v>
      </c>
      <c r="P13">
        <v>55586</v>
      </c>
      <c r="Q13">
        <v>0</v>
      </c>
      <c r="R13" s="91"/>
    </row>
    <row r="14" spans="1:23" x14ac:dyDescent="0.25">
      <c r="A14" s="90" t="str">
        <f t="shared" si="0"/>
        <v>AustraliaCommencements45444Initial</v>
      </c>
      <c r="B14" s="199">
        <v>13</v>
      </c>
      <c r="C14" s="198" t="s">
        <v>1</v>
      </c>
      <c r="D14" s="198" t="s">
        <v>73</v>
      </c>
      <c r="E14">
        <v>2024.4</v>
      </c>
      <c r="F14">
        <v>121</v>
      </c>
      <c r="G14" s="65">
        <v>45444</v>
      </c>
      <c r="H14">
        <v>42688</v>
      </c>
      <c r="I14">
        <v>43205</v>
      </c>
      <c r="J14" s="198" t="s">
        <v>30</v>
      </c>
      <c r="K14">
        <v>38528</v>
      </c>
      <c r="L14">
        <v>46848</v>
      </c>
      <c r="M14">
        <v>40868</v>
      </c>
      <c r="N14">
        <v>104.5</v>
      </c>
      <c r="O14" s="198" t="s">
        <v>27</v>
      </c>
      <c r="P14">
        <v>38988</v>
      </c>
      <c r="Q14">
        <v>105.7</v>
      </c>
      <c r="R14" s="91"/>
    </row>
    <row r="15" spans="1:23" x14ac:dyDescent="0.25">
      <c r="A15" s="90" t="str">
        <f t="shared" si="0"/>
        <v>AustraliaCommencements454441st revision</v>
      </c>
      <c r="B15" s="199">
        <v>14</v>
      </c>
      <c r="C15" s="198" t="s">
        <v>1</v>
      </c>
      <c r="D15" s="198" t="s">
        <v>73</v>
      </c>
      <c r="E15">
        <v>2024.4</v>
      </c>
      <c r="F15">
        <v>122</v>
      </c>
      <c r="G15" s="65">
        <v>45444</v>
      </c>
      <c r="H15">
        <v>41410</v>
      </c>
      <c r="I15">
        <v>0</v>
      </c>
      <c r="J15" s="198" t="s">
        <v>0</v>
      </c>
      <c r="K15">
        <v>40611</v>
      </c>
      <c r="L15">
        <v>42209</v>
      </c>
      <c r="M15">
        <v>40868</v>
      </c>
      <c r="N15">
        <v>101.3</v>
      </c>
      <c r="O15" s="198" t="s">
        <v>27</v>
      </c>
      <c r="P15">
        <v>40699</v>
      </c>
      <c r="Q15">
        <v>0</v>
      </c>
      <c r="R15" s="91"/>
    </row>
    <row r="16" spans="1:23" x14ac:dyDescent="0.25">
      <c r="A16" s="90" t="str">
        <f t="shared" si="0"/>
        <v>AustraliaCommencements45536Initial</v>
      </c>
      <c r="B16" s="199">
        <v>15</v>
      </c>
      <c r="C16" s="198" t="s">
        <v>1</v>
      </c>
      <c r="D16" s="198" t="s">
        <v>73</v>
      </c>
      <c r="E16">
        <v>2025.1</v>
      </c>
      <c r="F16">
        <v>122</v>
      </c>
      <c r="G16" s="65">
        <v>45536</v>
      </c>
      <c r="H16">
        <v>28107</v>
      </c>
      <c r="I16">
        <v>28454</v>
      </c>
      <c r="J16" s="198" t="s">
        <v>30</v>
      </c>
      <c r="K16">
        <v>25220</v>
      </c>
      <c r="L16">
        <v>30994</v>
      </c>
      <c r="M16">
        <v>26748</v>
      </c>
      <c r="N16">
        <v>105.1</v>
      </c>
      <c r="O16" s="198" t="s">
        <v>27</v>
      </c>
      <c r="P16">
        <v>25656</v>
      </c>
      <c r="Q16">
        <v>106.4</v>
      </c>
      <c r="R16" s="91"/>
    </row>
    <row r="17" spans="1:18" x14ac:dyDescent="0.25">
      <c r="A17" s="90" t="str">
        <f t="shared" si="0"/>
        <v>AustraliaCommencements455361st revision</v>
      </c>
      <c r="B17" s="199">
        <v>16</v>
      </c>
      <c r="C17" s="198" t="s">
        <v>1</v>
      </c>
      <c r="D17" s="198" t="s">
        <v>73</v>
      </c>
      <c r="E17">
        <v>2025.1</v>
      </c>
      <c r="F17">
        <v>123</v>
      </c>
      <c r="G17" s="65">
        <v>45536</v>
      </c>
      <c r="H17">
        <v>26984</v>
      </c>
      <c r="I17">
        <v>0</v>
      </c>
      <c r="J17" s="198" t="s">
        <v>0</v>
      </c>
      <c r="K17">
        <v>26404</v>
      </c>
      <c r="L17">
        <v>27564</v>
      </c>
      <c r="M17">
        <v>26748</v>
      </c>
      <c r="N17">
        <v>100.9</v>
      </c>
      <c r="O17" s="198" t="s">
        <v>27</v>
      </c>
      <c r="P17">
        <v>26534</v>
      </c>
      <c r="Q17">
        <v>0</v>
      </c>
      <c r="R17" s="91"/>
    </row>
    <row r="18" spans="1:18" x14ac:dyDescent="0.25">
      <c r="A18" s="90" t="str">
        <f t="shared" si="0"/>
        <v>AustraliaCompletions45261Initial</v>
      </c>
      <c r="B18" s="199">
        <v>17</v>
      </c>
      <c r="C18" s="198" t="s">
        <v>1</v>
      </c>
      <c r="D18" s="198" t="s">
        <v>74</v>
      </c>
      <c r="E18">
        <v>2024.2</v>
      </c>
      <c r="F18">
        <v>119</v>
      </c>
      <c r="G18" s="65">
        <v>45261</v>
      </c>
      <c r="H18">
        <v>30954</v>
      </c>
      <c r="I18">
        <v>0</v>
      </c>
      <c r="J18" s="198" t="s">
        <v>30</v>
      </c>
      <c r="K18">
        <v>30440</v>
      </c>
      <c r="L18">
        <v>31468</v>
      </c>
      <c r="M18">
        <v>30286</v>
      </c>
      <c r="N18">
        <v>102.2</v>
      </c>
      <c r="O18" s="198" t="s">
        <v>26</v>
      </c>
      <c r="P18">
        <v>28876</v>
      </c>
      <c r="Q18">
        <v>0</v>
      </c>
      <c r="R18" s="91"/>
    </row>
    <row r="19" spans="1:18" x14ac:dyDescent="0.25">
      <c r="A19" s="90" t="str">
        <f t="shared" si="0"/>
        <v>AustraliaCompletions452611st revision</v>
      </c>
      <c r="B19" s="199">
        <v>18</v>
      </c>
      <c r="C19" s="198" t="s">
        <v>1</v>
      </c>
      <c r="D19" s="198" t="s">
        <v>74</v>
      </c>
      <c r="E19">
        <v>2024.2</v>
      </c>
      <c r="F19">
        <v>120</v>
      </c>
      <c r="G19" s="65">
        <v>45261</v>
      </c>
      <c r="H19">
        <v>30779</v>
      </c>
      <c r="I19">
        <v>0</v>
      </c>
      <c r="J19" s="198" t="s">
        <v>0</v>
      </c>
      <c r="K19">
        <v>30495</v>
      </c>
      <c r="L19">
        <v>31063</v>
      </c>
      <c r="M19">
        <v>30286</v>
      </c>
      <c r="N19">
        <v>101.6</v>
      </c>
      <c r="O19" s="198" t="s">
        <v>26</v>
      </c>
      <c r="P19">
        <v>29788</v>
      </c>
      <c r="Q19">
        <v>0</v>
      </c>
      <c r="R19" s="91"/>
    </row>
    <row r="20" spans="1:18" x14ac:dyDescent="0.25">
      <c r="A20" s="90" t="str">
        <f t="shared" si="0"/>
        <v>AustraliaCompletions45352Initial</v>
      </c>
      <c r="B20" s="199">
        <v>19</v>
      </c>
      <c r="C20" s="198" t="s">
        <v>1</v>
      </c>
      <c r="D20" s="198" t="s">
        <v>74</v>
      </c>
      <c r="E20">
        <v>2024.3</v>
      </c>
      <c r="F20">
        <v>120</v>
      </c>
      <c r="G20" s="65">
        <v>45352</v>
      </c>
      <c r="H20">
        <v>25581</v>
      </c>
      <c r="I20">
        <v>0</v>
      </c>
      <c r="J20" s="198" t="s">
        <v>30</v>
      </c>
      <c r="K20">
        <v>25041</v>
      </c>
      <c r="L20">
        <v>26121</v>
      </c>
      <c r="M20">
        <v>24827</v>
      </c>
      <c r="N20">
        <v>103</v>
      </c>
      <c r="O20" s="198" t="s">
        <v>26</v>
      </c>
      <c r="P20">
        <v>23850</v>
      </c>
      <c r="Q20">
        <v>0</v>
      </c>
      <c r="R20" s="91"/>
    </row>
    <row r="21" spans="1:18" x14ac:dyDescent="0.25">
      <c r="A21" s="90" t="str">
        <f t="shared" si="0"/>
        <v>AustraliaCompletions453521st revision</v>
      </c>
      <c r="B21" s="199">
        <v>20</v>
      </c>
      <c r="C21" s="198" t="s">
        <v>1</v>
      </c>
      <c r="D21" s="198" t="s">
        <v>74</v>
      </c>
      <c r="E21">
        <v>2024.3</v>
      </c>
      <c r="F21">
        <v>121</v>
      </c>
      <c r="G21" s="65">
        <v>45352</v>
      </c>
      <c r="H21">
        <v>25311</v>
      </c>
      <c r="I21">
        <v>0</v>
      </c>
      <c r="J21" s="198" t="s">
        <v>0</v>
      </c>
      <c r="K21">
        <v>25026</v>
      </c>
      <c r="L21">
        <v>25596</v>
      </c>
      <c r="M21">
        <v>24827</v>
      </c>
      <c r="N21">
        <v>101.9</v>
      </c>
      <c r="O21" s="198" t="s">
        <v>26</v>
      </c>
      <c r="P21">
        <v>24500</v>
      </c>
      <c r="Q21">
        <v>0</v>
      </c>
      <c r="R21" s="91"/>
    </row>
    <row r="22" spans="1:18" x14ac:dyDescent="0.25">
      <c r="A22" s="90" t="str">
        <f t="shared" si="0"/>
        <v>AustraliaCompletions45444Initial</v>
      </c>
      <c r="B22" s="199">
        <v>21</v>
      </c>
      <c r="C22" s="198" t="s">
        <v>1</v>
      </c>
      <c r="D22" s="198" t="s">
        <v>74</v>
      </c>
      <c r="E22">
        <v>2024.4</v>
      </c>
      <c r="F22">
        <v>121</v>
      </c>
      <c r="G22" s="65">
        <v>45444</v>
      </c>
      <c r="H22">
        <v>22275</v>
      </c>
      <c r="I22">
        <v>0</v>
      </c>
      <c r="J22" s="198" t="s">
        <v>30</v>
      </c>
      <c r="K22">
        <v>21858</v>
      </c>
      <c r="L22">
        <v>22692</v>
      </c>
      <c r="M22">
        <v>21614</v>
      </c>
      <c r="N22">
        <v>103.1</v>
      </c>
      <c r="O22" s="198" t="s">
        <v>26</v>
      </c>
      <c r="P22">
        <v>20805</v>
      </c>
      <c r="Q22">
        <v>0</v>
      </c>
      <c r="R22" s="91"/>
    </row>
    <row r="23" spans="1:18" x14ac:dyDescent="0.25">
      <c r="A23" s="90" t="str">
        <f t="shared" si="0"/>
        <v>AustraliaCompletions454441st revision</v>
      </c>
      <c r="B23" s="199">
        <v>22</v>
      </c>
      <c r="C23" s="198" t="s">
        <v>1</v>
      </c>
      <c r="D23" s="198" t="s">
        <v>74</v>
      </c>
      <c r="E23">
        <v>2024.4</v>
      </c>
      <c r="F23">
        <v>122</v>
      </c>
      <c r="G23" s="65">
        <v>45444</v>
      </c>
      <c r="H23">
        <v>21987</v>
      </c>
      <c r="I23">
        <v>0</v>
      </c>
      <c r="J23" s="198" t="s">
        <v>0</v>
      </c>
      <c r="K23">
        <v>21767</v>
      </c>
      <c r="L23">
        <v>22207</v>
      </c>
      <c r="M23">
        <v>21614</v>
      </c>
      <c r="N23">
        <v>101.7</v>
      </c>
      <c r="O23" s="198" t="s">
        <v>26</v>
      </c>
      <c r="P23">
        <v>21320</v>
      </c>
      <c r="Q23">
        <v>0</v>
      </c>
      <c r="R23" s="91"/>
    </row>
    <row r="24" spans="1:18" x14ac:dyDescent="0.25">
      <c r="A24" s="90" t="str">
        <f t="shared" si="0"/>
        <v>AustraliaCompletions45536Initial</v>
      </c>
      <c r="B24" s="199">
        <v>23</v>
      </c>
      <c r="C24" s="198" t="s">
        <v>1</v>
      </c>
      <c r="D24" s="198" t="s">
        <v>74</v>
      </c>
      <c r="E24">
        <v>2025.1</v>
      </c>
      <c r="F24">
        <v>122</v>
      </c>
      <c r="G24" s="65">
        <v>45536</v>
      </c>
      <c r="H24">
        <v>22593</v>
      </c>
      <c r="I24">
        <v>0</v>
      </c>
      <c r="J24" s="198" t="s">
        <v>30</v>
      </c>
      <c r="K24">
        <v>22134</v>
      </c>
      <c r="L24">
        <v>23052</v>
      </c>
      <c r="M24">
        <v>22001</v>
      </c>
      <c r="N24">
        <v>102.7</v>
      </c>
      <c r="O24" s="198" t="s">
        <v>26</v>
      </c>
      <c r="P24">
        <v>21146</v>
      </c>
      <c r="Q24">
        <v>0</v>
      </c>
      <c r="R24" s="91"/>
    </row>
    <row r="25" spans="1:18" x14ac:dyDescent="0.25">
      <c r="A25" s="90" t="str">
        <f t="shared" si="0"/>
        <v>AustraliaCompletions455361st revision</v>
      </c>
      <c r="B25" s="199">
        <v>24</v>
      </c>
      <c r="C25" s="198" t="s">
        <v>1</v>
      </c>
      <c r="D25" s="198" t="s">
        <v>74</v>
      </c>
      <c r="E25">
        <v>2025.1</v>
      </c>
      <c r="F25">
        <v>123</v>
      </c>
      <c r="G25" s="65">
        <v>45536</v>
      </c>
      <c r="H25">
        <v>22340</v>
      </c>
      <c r="I25">
        <v>0</v>
      </c>
      <c r="J25" s="198" t="s">
        <v>0</v>
      </c>
      <c r="K25">
        <v>22147</v>
      </c>
      <c r="L25">
        <v>22533</v>
      </c>
      <c r="M25">
        <v>22001</v>
      </c>
      <c r="N25">
        <v>101.5</v>
      </c>
      <c r="O25" s="198" t="s">
        <v>26</v>
      </c>
      <c r="P25">
        <v>21708</v>
      </c>
      <c r="Q25">
        <v>0</v>
      </c>
      <c r="R25" s="91"/>
    </row>
    <row r="26" spans="1:18" x14ac:dyDescent="0.25">
      <c r="A26" s="90" t="str">
        <f t="shared" si="0"/>
        <v>AustraliaIn-training44896Initial</v>
      </c>
      <c r="B26" s="199">
        <v>25</v>
      </c>
      <c r="C26" s="198" t="s">
        <v>1</v>
      </c>
      <c r="D26" s="198" t="s">
        <v>75</v>
      </c>
      <c r="E26">
        <v>2023.2</v>
      </c>
      <c r="F26">
        <v>115</v>
      </c>
      <c r="G26" s="65">
        <v>44896</v>
      </c>
      <c r="H26">
        <v>377659</v>
      </c>
      <c r="I26">
        <v>0</v>
      </c>
      <c r="J26" s="198" t="s">
        <v>30</v>
      </c>
      <c r="K26">
        <v>374902</v>
      </c>
      <c r="L26">
        <v>380416</v>
      </c>
      <c r="M26">
        <v>374350</v>
      </c>
      <c r="N26">
        <v>100.9</v>
      </c>
      <c r="O26" s="198" t="s">
        <v>26</v>
      </c>
      <c r="P26">
        <v>386723</v>
      </c>
      <c r="Q26">
        <v>0</v>
      </c>
      <c r="R26" s="91"/>
    </row>
    <row r="27" spans="1:18" x14ac:dyDescent="0.25">
      <c r="A27" s="90" t="str">
        <f t="shared" si="0"/>
        <v>AustraliaIn-training448961st revision</v>
      </c>
      <c r="B27" s="199">
        <v>26</v>
      </c>
      <c r="C27" s="198" t="s">
        <v>1</v>
      </c>
      <c r="D27" s="198" t="s">
        <v>75</v>
      </c>
      <c r="E27">
        <v>2023.2</v>
      </c>
      <c r="F27">
        <v>116</v>
      </c>
      <c r="G27" s="65">
        <v>44896</v>
      </c>
      <c r="H27">
        <v>377657</v>
      </c>
      <c r="I27">
        <v>0</v>
      </c>
      <c r="J27" s="198" t="s">
        <v>0</v>
      </c>
      <c r="K27">
        <v>376162</v>
      </c>
      <c r="L27">
        <v>379152</v>
      </c>
      <c r="M27">
        <v>374350</v>
      </c>
      <c r="N27">
        <v>100.9</v>
      </c>
      <c r="O27" s="198" t="s">
        <v>26</v>
      </c>
      <c r="P27">
        <v>383283</v>
      </c>
      <c r="Q27">
        <v>0</v>
      </c>
      <c r="R27" s="91"/>
    </row>
    <row r="28" spans="1:18" x14ac:dyDescent="0.25">
      <c r="A28" s="90" t="str">
        <f t="shared" si="0"/>
        <v>AustraliaIn-training44986Initial</v>
      </c>
      <c r="B28" s="199">
        <v>27</v>
      </c>
      <c r="C28" s="198" t="s">
        <v>1</v>
      </c>
      <c r="D28" s="198" t="s">
        <v>75</v>
      </c>
      <c r="E28">
        <v>2023.3</v>
      </c>
      <c r="F28">
        <v>116</v>
      </c>
      <c r="G28" s="65">
        <v>44986</v>
      </c>
      <c r="H28">
        <v>387489.11006540002</v>
      </c>
      <c r="I28">
        <v>387966</v>
      </c>
      <c r="J28" s="198" t="s">
        <v>30</v>
      </c>
      <c r="K28">
        <v>382157</v>
      </c>
      <c r="L28">
        <v>392821</v>
      </c>
      <c r="M28">
        <v>383849</v>
      </c>
      <c r="N28">
        <v>100.9</v>
      </c>
      <c r="O28" s="198" t="s">
        <v>27</v>
      </c>
      <c r="P28">
        <v>393743</v>
      </c>
      <c r="Q28">
        <v>101.1</v>
      </c>
      <c r="R28" s="91"/>
    </row>
    <row r="29" spans="1:18" x14ac:dyDescent="0.25">
      <c r="A29" s="90" t="str">
        <f t="shared" si="0"/>
        <v>AustraliaIn-training449861st revision</v>
      </c>
      <c r="B29" s="199">
        <v>28</v>
      </c>
      <c r="C29" s="198" t="s">
        <v>1</v>
      </c>
      <c r="D29" s="198" t="s">
        <v>75</v>
      </c>
      <c r="E29">
        <v>2023.3</v>
      </c>
      <c r="F29">
        <v>117</v>
      </c>
      <c r="G29" s="65">
        <v>44986</v>
      </c>
      <c r="H29">
        <v>388104</v>
      </c>
      <c r="I29">
        <v>0</v>
      </c>
      <c r="J29" s="198" t="s">
        <v>0</v>
      </c>
      <c r="K29">
        <v>386213</v>
      </c>
      <c r="L29">
        <v>389995</v>
      </c>
      <c r="M29">
        <v>383849</v>
      </c>
      <c r="N29">
        <v>101.1</v>
      </c>
      <c r="O29" s="198" t="s">
        <v>27</v>
      </c>
      <c r="P29">
        <v>392359</v>
      </c>
      <c r="Q29">
        <v>0</v>
      </c>
      <c r="R29" s="91"/>
    </row>
    <row r="30" spans="1:18" x14ac:dyDescent="0.25">
      <c r="A30" s="90" t="str">
        <f t="shared" si="0"/>
        <v>AustraliaIn-training45078Initial</v>
      </c>
      <c r="B30" s="199">
        <v>29</v>
      </c>
      <c r="C30" s="198" t="s">
        <v>1</v>
      </c>
      <c r="D30" s="198" t="s">
        <v>75</v>
      </c>
      <c r="E30">
        <v>2023.4</v>
      </c>
      <c r="F30">
        <v>117</v>
      </c>
      <c r="G30" s="65">
        <v>45078</v>
      </c>
      <c r="H30">
        <v>377706</v>
      </c>
      <c r="I30">
        <v>378075</v>
      </c>
      <c r="J30" s="198" t="s">
        <v>30</v>
      </c>
      <c r="K30">
        <v>372791</v>
      </c>
      <c r="L30">
        <v>382621</v>
      </c>
      <c r="M30">
        <v>372741</v>
      </c>
      <c r="N30">
        <v>101.3</v>
      </c>
      <c r="O30" s="198" t="s">
        <v>26</v>
      </c>
      <c r="P30">
        <v>384018</v>
      </c>
      <c r="Q30">
        <v>101.4</v>
      </c>
      <c r="R30" s="91"/>
    </row>
    <row r="31" spans="1:18" x14ac:dyDescent="0.25">
      <c r="A31" s="90" t="str">
        <f t="shared" si="0"/>
        <v>AustraliaIn-training450781st revision</v>
      </c>
      <c r="B31" s="199">
        <v>30</v>
      </c>
      <c r="C31" s="198" t="s">
        <v>1</v>
      </c>
      <c r="D31" s="198" t="s">
        <v>75</v>
      </c>
      <c r="E31">
        <v>2023.4</v>
      </c>
      <c r="F31">
        <v>118</v>
      </c>
      <c r="G31" s="65">
        <v>45078</v>
      </c>
      <c r="H31">
        <v>377714</v>
      </c>
      <c r="I31">
        <v>0</v>
      </c>
      <c r="J31" s="198" t="s">
        <v>0</v>
      </c>
      <c r="K31">
        <v>376277</v>
      </c>
      <c r="L31">
        <v>379151</v>
      </c>
      <c r="M31">
        <v>372741</v>
      </c>
      <c r="N31">
        <v>101.3</v>
      </c>
      <c r="O31" s="198" t="s">
        <v>26</v>
      </c>
      <c r="P31">
        <v>381388</v>
      </c>
      <c r="Q31">
        <v>0</v>
      </c>
      <c r="R31" s="91"/>
    </row>
    <row r="32" spans="1:18" x14ac:dyDescent="0.25">
      <c r="A32" s="90" t="str">
        <f t="shared" si="0"/>
        <v>AustraliaIn-training45170Initial</v>
      </c>
      <c r="B32" s="199">
        <v>31</v>
      </c>
      <c r="C32" s="198" t="s">
        <v>1</v>
      </c>
      <c r="D32" s="198" t="s">
        <v>75</v>
      </c>
      <c r="E32">
        <v>2024.1</v>
      </c>
      <c r="F32">
        <v>118</v>
      </c>
      <c r="G32" s="65">
        <v>45170</v>
      </c>
      <c r="H32">
        <v>365408</v>
      </c>
      <c r="I32">
        <v>365845</v>
      </c>
      <c r="J32" s="198" t="s">
        <v>30</v>
      </c>
      <c r="K32">
        <v>361215</v>
      </c>
      <c r="L32">
        <v>369601</v>
      </c>
      <c r="M32">
        <v>359681</v>
      </c>
      <c r="N32">
        <v>101.6</v>
      </c>
      <c r="O32" s="198" t="s">
        <v>26</v>
      </c>
      <c r="P32">
        <v>371473</v>
      </c>
      <c r="Q32">
        <v>101.7</v>
      </c>
      <c r="R32" s="91"/>
    </row>
    <row r="33" spans="1:18" x14ac:dyDescent="0.25">
      <c r="A33" s="90" t="str">
        <f t="shared" si="0"/>
        <v>AustraliaIn-training451701st revision</v>
      </c>
      <c r="B33" s="199">
        <v>32</v>
      </c>
      <c r="C33" s="198" t="s">
        <v>1</v>
      </c>
      <c r="D33" s="198" t="s">
        <v>75</v>
      </c>
      <c r="E33">
        <v>2024.1</v>
      </c>
      <c r="F33">
        <v>119</v>
      </c>
      <c r="G33" s="65">
        <v>45170</v>
      </c>
      <c r="H33">
        <v>364489</v>
      </c>
      <c r="I33">
        <v>0</v>
      </c>
      <c r="J33" s="198" t="s">
        <v>0</v>
      </c>
      <c r="K33">
        <v>363149</v>
      </c>
      <c r="L33">
        <v>365829</v>
      </c>
      <c r="M33">
        <v>359681</v>
      </c>
      <c r="N33">
        <v>101.3</v>
      </c>
      <c r="O33" s="198" t="s">
        <v>26</v>
      </c>
      <c r="P33">
        <v>367536</v>
      </c>
      <c r="Q33">
        <v>0</v>
      </c>
      <c r="R33" s="91"/>
    </row>
    <row r="34" spans="1:18" x14ac:dyDescent="0.25">
      <c r="A34" s="90" t="str">
        <f t="shared" si="0"/>
        <v>Australian Capital TerritoryCancellations/withdrawals44896Initial</v>
      </c>
      <c r="B34" s="199">
        <v>33</v>
      </c>
      <c r="C34" s="198" t="s">
        <v>2</v>
      </c>
      <c r="D34" s="198" t="s">
        <v>72</v>
      </c>
      <c r="E34">
        <v>2023.2</v>
      </c>
      <c r="F34">
        <v>115</v>
      </c>
      <c r="G34" s="65">
        <v>44896</v>
      </c>
      <c r="H34">
        <v>598</v>
      </c>
      <c r="I34">
        <v>0</v>
      </c>
      <c r="J34" s="198" t="s">
        <v>30</v>
      </c>
      <c r="K34">
        <v>592</v>
      </c>
      <c r="L34">
        <v>604</v>
      </c>
      <c r="M34">
        <v>597</v>
      </c>
      <c r="N34">
        <v>100.2</v>
      </c>
      <c r="O34" s="198" t="s">
        <v>27</v>
      </c>
      <c r="P34">
        <v>598</v>
      </c>
      <c r="Q34">
        <v>0</v>
      </c>
      <c r="R34" s="91"/>
    </row>
    <row r="35" spans="1:18" x14ac:dyDescent="0.25">
      <c r="A35" s="90" t="str">
        <f t="shared" si="0"/>
        <v>Australian Capital TerritoryCancellations/withdrawals448961st revision</v>
      </c>
      <c r="B35" s="199">
        <v>34</v>
      </c>
      <c r="C35" s="198" t="s">
        <v>2</v>
      </c>
      <c r="D35" s="198" t="s">
        <v>72</v>
      </c>
      <c r="E35">
        <v>2023.2</v>
      </c>
      <c r="F35">
        <v>116</v>
      </c>
      <c r="G35" s="65">
        <v>44896</v>
      </c>
      <c r="H35">
        <v>598</v>
      </c>
      <c r="I35">
        <v>0</v>
      </c>
      <c r="J35" s="198" t="s">
        <v>0</v>
      </c>
      <c r="K35">
        <v>594</v>
      </c>
      <c r="L35">
        <v>602</v>
      </c>
      <c r="M35">
        <v>597</v>
      </c>
      <c r="N35">
        <v>100.2</v>
      </c>
      <c r="O35" s="198" t="s">
        <v>27</v>
      </c>
      <c r="P35">
        <v>598</v>
      </c>
      <c r="Q35">
        <v>0</v>
      </c>
      <c r="R35" s="91"/>
    </row>
    <row r="36" spans="1:18" x14ac:dyDescent="0.25">
      <c r="A36" s="90" t="str">
        <f t="shared" si="0"/>
        <v>Australian Capital TerritoryCancellations/withdrawals44986Initial</v>
      </c>
      <c r="B36" s="199">
        <v>35</v>
      </c>
      <c r="C36" s="198" t="s">
        <v>2</v>
      </c>
      <c r="D36" s="198" t="s">
        <v>72</v>
      </c>
      <c r="E36">
        <v>2023.3</v>
      </c>
      <c r="F36">
        <v>116</v>
      </c>
      <c r="G36" s="65">
        <v>44986</v>
      </c>
      <c r="H36">
        <v>607</v>
      </c>
      <c r="I36">
        <v>0</v>
      </c>
      <c r="J36" s="198" t="s">
        <v>30</v>
      </c>
      <c r="K36">
        <v>603</v>
      </c>
      <c r="L36">
        <v>611</v>
      </c>
      <c r="M36">
        <v>606</v>
      </c>
      <c r="N36">
        <v>100.2</v>
      </c>
      <c r="O36" s="198" t="s">
        <v>27</v>
      </c>
      <c r="P36">
        <v>607</v>
      </c>
      <c r="Q36">
        <v>0</v>
      </c>
      <c r="R36" s="91"/>
    </row>
    <row r="37" spans="1:18" x14ac:dyDescent="0.25">
      <c r="A37" s="90" t="str">
        <f t="shared" si="0"/>
        <v>Australian Capital TerritoryCancellations/withdrawals449861st revision</v>
      </c>
      <c r="B37" s="199">
        <v>36</v>
      </c>
      <c r="C37" s="198" t="s">
        <v>2</v>
      </c>
      <c r="D37" s="198" t="s">
        <v>72</v>
      </c>
      <c r="E37">
        <v>2023.3</v>
      </c>
      <c r="F37">
        <v>117</v>
      </c>
      <c r="G37" s="65">
        <v>44986</v>
      </c>
      <c r="H37">
        <v>606</v>
      </c>
      <c r="I37">
        <v>0</v>
      </c>
      <c r="J37" s="198" t="s">
        <v>0</v>
      </c>
      <c r="K37">
        <v>602</v>
      </c>
      <c r="L37">
        <v>610</v>
      </c>
      <c r="M37">
        <v>606</v>
      </c>
      <c r="N37">
        <v>100</v>
      </c>
      <c r="O37" s="198" t="s">
        <v>27</v>
      </c>
      <c r="P37">
        <v>606</v>
      </c>
      <c r="Q37">
        <v>0</v>
      </c>
      <c r="R37" s="91"/>
    </row>
    <row r="38" spans="1:18" x14ac:dyDescent="0.25">
      <c r="A38" s="90" t="str">
        <f t="shared" si="0"/>
        <v>Australian Capital TerritoryCancellations/withdrawals45078Initial</v>
      </c>
      <c r="B38" s="199">
        <v>37</v>
      </c>
      <c r="C38" s="198" t="s">
        <v>2</v>
      </c>
      <c r="D38" s="198" t="s">
        <v>72</v>
      </c>
      <c r="E38">
        <v>2023.4</v>
      </c>
      <c r="F38">
        <v>117</v>
      </c>
      <c r="G38" s="65">
        <v>45078</v>
      </c>
      <c r="H38">
        <v>610</v>
      </c>
      <c r="I38">
        <v>0</v>
      </c>
      <c r="J38" s="198" t="s">
        <v>30</v>
      </c>
      <c r="K38">
        <v>606</v>
      </c>
      <c r="L38">
        <v>614</v>
      </c>
      <c r="M38">
        <v>610</v>
      </c>
      <c r="N38">
        <v>100</v>
      </c>
      <c r="O38" s="198" t="s">
        <v>27</v>
      </c>
      <c r="P38">
        <v>610</v>
      </c>
      <c r="Q38">
        <v>0</v>
      </c>
      <c r="R38" s="91"/>
    </row>
    <row r="39" spans="1:18" x14ac:dyDescent="0.25">
      <c r="A39" s="90" t="str">
        <f t="shared" si="0"/>
        <v>Australian Capital TerritoryCancellations/withdrawals450781st revision</v>
      </c>
      <c r="B39" s="199">
        <v>38</v>
      </c>
      <c r="C39" s="198" t="s">
        <v>2</v>
      </c>
      <c r="D39" s="198" t="s">
        <v>72</v>
      </c>
      <c r="E39">
        <v>2023.4</v>
      </c>
      <c r="F39">
        <v>118</v>
      </c>
      <c r="G39" s="65">
        <v>45078</v>
      </c>
      <c r="H39">
        <v>610</v>
      </c>
      <c r="I39">
        <v>0</v>
      </c>
      <c r="J39" s="198" t="s">
        <v>0</v>
      </c>
      <c r="K39">
        <v>606</v>
      </c>
      <c r="L39">
        <v>614</v>
      </c>
      <c r="M39">
        <v>610</v>
      </c>
      <c r="N39">
        <v>100</v>
      </c>
      <c r="O39" s="198" t="s">
        <v>27</v>
      </c>
      <c r="P39">
        <v>610</v>
      </c>
      <c r="Q39">
        <v>0</v>
      </c>
      <c r="R39" s="91"/>
    </row>
    <row r="40" spans="1:18" x14ac:dyDescent="0.25">
      <c r="A40" s="90" t="str">
        <f t="shared" si="0"/>
        <v>Australian Capital TerritoryCancellations/withdrawals45170Initial</v>
      </c>
      <c r="B40" s="199">
        <v>39</v>
      </c>
      <c r="C40" s="198" t="s">
        <v>2</v>
      </c>
      <c r="D40" s="198" t="s">
        <v>72</v>
      </c>
      <c r="E40">
        <v>2024.1</v>
      </c>
      <c r="F40">
        <v>118</v>
      </c>
      <c r="G40" s="65">
        <v>45170</v>
      </c>
      <c r="H40">
        <v>635</v>
      </c>
      <c r="I40">
        <v>0</v>
      </c>
      <c r="J40" s="198" t="s">
        <v>30</v>
      </c>
      <c r="K40">
        <v>631</v>
      </c>
      <c r="L40">
        <v>639</v>
      </c>
      <c r="M40">
        <v>635</v>
      </c>
      <c r="N40">
        <v>100</v>
      </c>
      <c r="O40" s="198" t="s">
        <v>27</v>
      </c>
      <c r="P40">
        <v>635</v>
      </c>
      <c r="Q40">
        <v>0</v>
      </c>
      <c r="R40" s="91"/>
    </row>
    <row r="41" spans="1:18" x14ac:dyDescent="0.25">
      <c r="A41" s="90" t="str">
        <f t="shared" si="0"/>
        <v>Australian Capital TerritoryCancellations/withdrawals451701st revision</v>
      </c>
      <c r="B41" s="199">
        <v>40</v>
      </c>
      <c r="C41" s="198" t="s">
        <v>2</v>
      </c>
      <c r="D41" s="198" t="s">
        <v>72</v>
      </c>
      <c r="E41">
        <v>2024.1</v>
      </c>
      <c r="F41">
        <v>119</v>
      </c>
      <c r="G41" s="65">
        <v>45170</v>
      </c>
      <c r="H41">
        <v>635</v>
      </c>
      <c r="I41">
        <v>0</v>
      </c>
      <c r="J41" s="198" t="s">
        <v>0</v>
      </c>
      <c r="K41">
        <v>631</v>
      </c>
      <c r="L41">
        <v>639</v>
      </c>
      <c r="M41">
        <v>635</v>
      </c>
      <c r="N41">
        <v>100</v>
      </c>
      <c r="O41" s="198" t="s">
        <v>27</v>
      </c>
      <c r="P41">
        <v>635</v>
      </c>
      <c r="Q41">
        <v>0</v>
      </c>
      <c r="R41" s="91"/>
    </row>
    <row r="42" spans="1:18" x14ac:dyDescent="0.25">
      <c r="A42" s="90" t="str">
        <f t="shared" si="0"/>
        <v>Australian Capital TerritoryCommencements45261Initial</v>
      </c>
      <c r="B42" s="199">
        <v>41</v>
      </c>
      <c r="C42" s="198" t="s">
        <v>2</v>
      </c>
      <c r="D42" s="198" t="s">
        <v>73</v>
      </c>
      <c r="E42">
        <v>2024.2</v>
      </c>
      <c r="F42">
        <v>119</v>
      </c>
      <c r="G42" s="65">
        <v>45261</v>
      </c>
      <c r="H42">
        <v>732</v>
      </c>
      <c r="I42">
        <v>0</v>
      </c>
      <c r="J42" s="198" t="s">
        <v>30</v>
      </c>
      <c r="K42">
        <v>701</v>
      </c>
      <c r="L42">
        <v>763</v>
      </c>
      <c r="M42">
        <v>711</v>
      </c>
      <c r="N42">
        <v>103</v>
      </c>
      <c r="O42" s="198" t="s">
        <v>27</v>
      </c>
      <c r="P42">
        <v>708</v>
      </c>
      <c r="Q42">
        <v>0</v>
      </c>
      <c r="R42" s="91"/>
    </row>
    <row r="43" spans="1:18" x14ac:dyDescent="0.25">
      <c r="A43" s="90" t="str">
        <f t="shared" si="0"/>
        <v>Australian Capital TerritoryCommencements452611st revision</v>
      </c>
      <c r="B43" s="199">
        <v>42</v>
      </c>
      <c r="C43" s="198" t="s">
        <v>2</v>
      </c>
      <c r="D43" s="198" t="s">
        <v>73</v>
      </c>
      <c r="E43">
        <v>2024.2</v>
      </c>
      <c r="F43">
        <v>120</v>
      </c>
      <c r="G43" s="65">
        <v>45261</v>
      </c>
      <c r="H43">
        <v>715</v>
      </c>
      <c r="I43">
        <v>0</v>
      </c>
      <c r="J43" s="198" t="s">
        <v>0</v>
      </c>
      <c r="K43">
        <v>708</v>
      </c>
      <c r="L43">
        <v>722</v>
      </c>
      <c r="M43">
        <v>711</v>
      </c>
      <c r="N43">
        <v>100.6</v>
      </c>
      <c r="O43" s="198" t="s">
        <v>27</v>
      </c>
      <c r="P43">
        <v>711</v>
      </c>
      <c r="Q43">
        <v>0</v>
      </c>
      <c r="R43" s="91"/>
    </row>
    <row r="44" spans="1:18" x14ac:dyDescent="0.25">
      <c r="A44" s="90" t="str">
        <f t="shared" si="0"/>
        <v>Australian Capital TerritoryCommencements45352Initial</v>
      </c>
      <c r="B44" s="199">
        <v>43</v>
      </c>
      <c r="C44" s="198" t="s">
        <v>2</v>
      </c>
      <c r="D44" s="198" t="s">
        <v>73</v>
      </c>
      <c r="E44">
        <v>2024.3</v>
      </c>
      <c r="F44">
        <v>120</v>
      </c>
      <c r="G44" s="65">
        <v>45352</v>
      </c>
      <c r="H44">
        <v>963</v>
      </c>
      <c r="I44">
        <v>0</v>
      </c>
      <c r="J44" s="198" t="s">
        <v>30</v>
      </c>
      <c r="K44">
        <v>934</v>
      </c>
      <c r="L44">
        <v>992</v>
      </c>
      <c r="M44">
        <v>939</v>
      </c>
      <c r="N44">
        <v>102.6</v>
      </c>
      <c r="O44" s="198" t="s">
        <v>27</v>
      </c>
      <c r="P44">
        <v>938</v>
      </c>
      <c r="Q44">
        <v>0</v>
      </c>
      <c r="R44" s="91"/>
    </row>
    <row r="45" spans="1:18" x14ac:dyDescent="0.25">
      <c r="A45" s="90" t="str">
        <f t="shared" si="0"/>
        <v>Australian Capital TerritoryCommencements453521st revision</v>
      </c>
      <c r="B45" s="199">
        <v>44</v>
      </c>
      <c r="C45" s="198" t="s">
        <v>2</v>
      </c>
      <c r="D45" s="198" t="s">
        <v>73</v>
      </c>
      <c r="E45">
        <v>2024.3</v>
      </c>
      <c r="F45">
        <v>121</v>
      </c>
      <c r="G45" s="65">
        <v>45352</v>
      </c>
      <c r="H45">
        <v>944</v>
      </c>
      <c r="I45">
        <v>0</v>
      </c>
      <c r="J45" s="198" t="s">
        <v>0</v>
      </c>
      <c r="K45">
        <v>936</v>
      </c>
      <c r="L45">
        <v>952</v>
      </c>
      <c r="M45">
        <v>939</v>
      </c>
      <c r="N45">
        <v>100.5</v>
      </c>
      <c r="O45" s="198" t="s">
        <v>27</v>
      </c>
      <c r="P45">
        <v>939</v>
      </c>
      <c r="Q45">
        <v>0</v>
      </c>
      <c r="R45" s="91"/>
    </row>
    <row r="46" spans="1:18" x14ac:dyDescent="0.25">
      <c r="A46" s="90" t="str">
        <f t="shared" si="0"/>
        <v>Australian Capital TerritoryCommencements45444Initial</v>
      </c>
      <c r="B46" s="199">
        <v>45</v>
      </c>
      <c r="C46" s="198" t="s">
        <v>2</v>
      </c>
      <c r="D46" s="198" t="s">
        <v>73</v>
      </c>
      <c r="E46">
        <v>2024.4</v>
      </c>
      <c r="F46">
        <v>121</v>
      </c>
      <c r="G46" s="65">
        <v>45444</v>
      </c>
      <c r="H46">
        <v>654</v>
      </c>
      <c r="I46">
        <v>0</v>
      </c>
      <c r="J46" s="198" t="s">
        <v>30</v>
      </c>
      <c r="K46">
        <v>634</v>
      </c>
      <c r="L46">
        <v>674</v>
      </c>
      <c r="M46">
        <v>641</v>
      </c>
      <c r="N46">
        <v>102</v>
      </c>
      <c r="O46" s="198" t="s">
        <v>27</v>
      </c>
      <c r="P46">
        <v>640</v>
      </c>
      <c r="Q46">
        <v>0</v>
      </c>
      <c r="R46" s="91"/>
    </row>
    <row r="47" spans="1:18" x14ac:dyDescent="0.25">
      <c r="A47" s="90" t="str">
        <f t="shared" si="0"/>
        <v>Australian Capital TerritoryCommencements454441st revision</v>
      </c>
      <c r="B47" s="199">
        <v>46</v>
      </c>
      <c r="C47" s="198" t="s">
        <v>2</v>
      </c>
      <c r="D47" s="198" t="s">
        <v>73</v>
      </c>
      <c r="E47">
        <v>2024.4</v>
      </c>
      <c r="F47">
        <v>122</v>
      </c>
      <c r="G47" s="65">
        <v>45444</v>
      </c>
      <c r="H47">
        <v>644</v>
      </c>
      <c r="I47">
        <v>0</v>
      </c>
      <c r="J47" s="198" t="s">
        <v>0</v>
      </c>
      <c r="K47">
        <v>638</v>
      </c>
      <c r="L47">
        <v>650</v>
      </c>
      <c r="M47">
        <v>641</v>
      </c>
      <c r="N47">
        <v>100.5</v>
      </c>
      <c r="O47" s="198" t="s">
        <v>27</v>
      </c>
      <c r="P47">
        <v>641</v>
      </c>
      <c r="Q47">
        <v>0</v>
      </c>
      <c r="R47" s="91"/>
    </row>
    <row r="48" spans="1:18" x14ac:dyDescent="0.25">
      <c r="A48" s="90" t="str">
        <f t="shared" si="0"/>
        <v>Australian Capital TerritoryCommencements45536Initial</v>
      </c>
      <c r="B48" s="199">
        <v>47</v>
      </c>
      <c r="C48" s="198" t="s">
        <v>2</v>
      </c>
      <c r="D48" s="198" t="s">
        <v>73</v>
      </c>
      <c r="E48">
        <v>2025.1</v>
      </c>
      <c r="F48">
        <v>122</v>
      </c>
      <c r="G48" s="65">
        <v>45536</v>
      </c>
      <c r="H48">
        <v>629</v>
      </c>
      <c r="I48">
        <v>0</v>
      </c>
      <c r="J48" s="198" t="s">
        <v>30</v>
      </c>
      <c r="K48">
        <v>609</v>
      </c>
      <c r="L48">
        <v>649</v>
      </c>
      <c r="M48">
        <v>619</v>
      </c>
      <c r="N48">
        <v>101.6</v>
      </c>
      <c r="O48" s="198" t="s">
        <v>27</v>
      </c>
      <c r="P48">
        <v>618</v>
      </c>
      <c r="Q48">
        <v>0</v>
      </c>
      <c r="R48" s="91"/>
    </row>
    <row r="49" spans="1:18" x14ac:dyDescent="0.25">
      <c r="A49" s="90" t="str">
        <f t="shared" si="0"/>
        <v>Australian Capital TerritoryCommencements455361st revision</v>
      </c>
      <c r="B49" s="199">
        <v>48</v>
      </c>
      <c r="C49" s="198" t="s">
        <v>2</v>
      </c>
      <c r="D49" s="198" t="s">
        <v>73</v>
      </c>
      <c r="E49">
        <v>2025.1</v>
      </c>
      <c r="F49">
        <v>123</v>
      </c>
      <c r="G49" s="65">
        <v>45536</v>
      </c>
      <c r="H49">
        <v>621</v>
      </c>
      <c r="I49">
        <v>0</v>
      </c>
      <c r="J49" s="198" t="s">
        <v>0</v>
      </c>
      <c r="K49">
        <v>615</v>
      </c>
      <c r="L49">
        <v>627</v>
      </c>
      <c r="M49">
        <v>619</v>
      </c>
      <c r="N49">
        <v>100.3</v>
      </c>
      <c r="O49" s="198" t="s">
        <v>27</v>
      </c>
      <c r="P49">
        <v>619</v>
      </c>
      <c r="Q49">
        <v>0</v>
      </c>
      <c r="R49" s="91"/>
    </row>
    <row r="50" spans="1:18" x14ac:dyDescent="0.25">
      <c r="A50" s="90" t="str">
        <f t="shared" si="0"/>
        <v>Australian Capital TerritoryCompletions45261Initial</v>
      </c>
      <c r="B50" s="199">
        <v>49</v>
      </c>
      <c r="C50" s="198" t="s">
        <v>2</v>
      </c>
      <c r="D50" s="198" t="s">
        <v>74</v>
      </c>
      <c r="E50">
        <v>2024.2</v>
      </c>
      <c r="F50">
        <v>119</v>
      </c>
      <c r="G50" s="65">
        <v>45261</v>
      </c>
      <c r="H50">
        <v>457</v>
      </c>
      <c r="I50">
        <v>0</v>
      </c>
      <c r="J50" s="198" t="s">
        <v>30</v>
      </c>
      <c r="K50">
        <v>445</v>
      </c>
      <c r="L50">
        <v>469</v>
      </c>
      <c r="M50">
        <v>463</v>
      </c>
      <c r="N50">
        <v>98.7</v>
      </c>
      <c r="O50" s="198" t="s">
        <v>27</v>
      </c>
      <c r="P50">
        <v>428</v>
      </c>
      <c r="Q50">
        <v>0</v>
      </c>
      <c r="R50" s="91"/>
    </row>
    <row r="51" spans="1:18" x14ac:dyDescent="0.25">
      <c r="A51" s="90" t="str">
        <f t="shared" si="0"/>
        <v>Australian Capital TerritoryCompletions452611st revision</v>
      </c>
      <c r="B51" s="199">
        <v>50</v>
      </c>
      <c r="C51" s="198" t="s">
        <v>2</v>
      </c>
      <c r="D51" s="198" t="s">
        <v>74</v>
      </c>
      <c r="E51">
        <v>2024.2</v>
      </c>
      <c r="F51">
        <v>120</v>
      </c>
      <c r="G51" s="65">
        <v>45261</v>
      </c>
      <c r="H51">
        <v>474</v>
      </c>
      <c r="I51">
        <v>0</v>
      </c>
      <c r="J51" s="198" t="s">
        <v>0</v>
      </c>
      <c r="K51">
        <v>455</v>
      </c>
      <c r="L51">
        <v>493</v>
      </c>
      <c r="M51">
        <v>463</v>
      </c>
      <c r="N51">
        <v>102.4</v>
      </c>
      <c r="O51" s="198" t="s">
        <v>27</v>
      </c>
      <c r="P51">
        <v>456</v>
      </c>
      <c r="Q51">
        <v>0</v>
      </c>
      <c r="R51" s="91"/>
    </row>
    <row r="52" spans="1:18" x14ac:dyDescent="0.25">
      <c r="A52" s="90" t="str">
        <f t="shared" si="0"/>
        <v>Australian Capital TerritoryCompletions45352Initial</v>
      </c>
      <c r="B52" s="199">
        <v>51</v>
      </c>
      <c r="C52" s="198" t="s">
        <v>2</v>
      </c>
      <c r="D52" s="198" t="s">
        <v>74</v>
      </c>
      <c r="E52">
        <v>2024.3</v>
      </c>
      <c r="F52">
        <v>120</v>
      </c>
      <c r="G52" s="65">
        <v>45352</v>
      </c>
      <c r="H52">
        <v>247</v>
      </c>
      <c r="I52">
        <v>0</v>
      </c>
      <c r="J52" s="198" t="s">
        <v>30</v>
      </c>
      <c r="K52">
        <v>239</v>
      </c>
      <c r="L52">
        <v>255</v>
      </c>
      <c r="M52">
        <v>247</v>
      </c>
      <c r="N52">
        <v>100</v>
      </c>
      <c r="O52" s="198" t="s">
        <v>27</v>
      </c>
      <c r="P52">
        <v>232</v>
      </c>
      <c r="Q52">
        <v>0</v>
      </c>
      <c r="R52" s="91"/>
    </row>
    <row r="53" spans="1:18" x14ac:dyDescent="0.25">
      <c r="A53" s="90" t="str">
        <f t="shared" si="0"/>
        <v>Australian Capital TerritoryCompletions453521st revision</v>
      </c>
      <c r="B53" s="199">
        <v>52</v>
      </c>
      <c r="C53" s="198" t="s">
        <v>2</v>
      </c>
      <c r="D53" s="198" t="s">
        <v>74</v>
      </c>
      <c r="E53">
        <v>2024.3</v>
      </c>
      <c r="F53">
        <v>121</v>
      </c>
      <c r="G53" s="65">
        <v>45352</v>
      </c>
      <c r="H53">
        <v>253</v>
      </c>
      <c r="I53">
        <v>0</v>
      </c>
      <c r="J53" s="198" t="s">
        <v>0</v>
      </c>
      <c r="K53">
        <v>245</v>
      </c>
      <c r="L53">
        <v>261</v>
      </c>
      <c r="M53">
        <v>247</v>
      </c>
      <c r="N53">
        <v>102.4</v>
      </c>
      <c r="O53" s="198" t="s">
        <v>27</v>
      </c>
      <c r="P53">
        <v>243</v>
      </c>
      <c r="Q53">
        <v>0</v>
      </c>
      <c r="R53" s="91"/>
    </row>
    <row r="54" spans="1:18" x14ac:dyDescent="0.25">
      <c r="A54" s="90" t="str">
        <f t="shared" si="0"/>
        <v>Australian Capital TerritoryCompletions45444Initial</v>
      </c>
      <c r="B54" s="199">
        <v>53</v>
      </c>
      <c r="C54" s="198" t="s">
        <v>2</v>
      </c>
      <c r="D54" s="198" t="s">
        <v>74</v>
      </c>
      <c r="E54">
        <v>2024.4</v>
      </c>
      <c r="F54">
        <v>121</v>
      </c>
      <c r="G54" s="65">
        <v>45444</v>
      </c>
      <c r="H54">
        <v>331</v>
      </c>
      <c r="I54">
        <v>0</v>
      </c>
      <c r="J54" s="198" t="s">
        <v>30</v>
      </c>
      <c r="K54">
        <v>321</v>
      </c>
      <c r="L54">
        <v>341</v>
      </c>
      <c r="M54">
        <v>328</v>
      </c>
      <c r="N54">
        <v>100.9</v>
      </c>
      <c r="O54" s="198" t="s">
        <v>27</v>
      </c>
      <c r="P54">
        <v>310</v>
      </c>
      <c r="Q54">
        <v>0</v>
      </c>
      <c r="R54" s="91"/>
    </row>
    <row r="55" spans="1:18" x14ac:dyDescent="0.25">
      <c r="A55" s="90" t="str">
        <f t="shared" si="0"/>
        <v>Australian Capital TerritoryCompletions454441st revision</v>
      </c>
      <c r="B55" s="199">
        <v>54</v>
      </c>
      <c r="C55" s="198" t="s">
        <v>2</v>
      </c>
      <c r="D55" s="198" t="s">
        <v>74</v>
      </c>
      <c r="E55">
        <v>2024.4</v>
      </c>
      <c r="F55">
        <v>122</v>
      </c>
      <c r="G55" s="65">
        <v>45444</v>
      </c>
      <c r="H55">
        <v>332</v>
      </c>
      <c r="I55">
        <v>0</v>
      </c>
      <c r="J55" s="198" t="s">
        <v>0</v>
      </c>
      <c r="K55">
        <v>321</v>
      </c>
      <c r="L55">
        <v>343</v>
      </c>
      <c r="M55">
        <v>328</v>
      </c>
      <c r="N55">
        <v>101.2</v>
      </c>
      <c r="O55" s="198" t="s">
        <v>27</v>
      </c>
      <c r="P55">
        <v>318</v>
      </c>
      <c r="Q55">
        <v>0</v>
      </c>
      <c r="R55" s="91"/>
    </row>
    <row r="56" spans="1:18" x14ac:dyDescent="0.25">
      <c r="A56" s="90" t="str">
        <f t="shared" si="0"/>
        <v>Australian Capital TerritoryCompletions45536Initial</v>
      </c>
      <c r="B56" s="199">
        <v>55</v>
      </c>
      <c r="C56" s="198" t="s">
        <v>2</v>
      </c>
      <c r="D56" s="198" t="s">
        <v>74</v>
      </c>
      <c r="E56">
        <v>2025.1</v>
      </c>
      <c r="F56">
        <v>122</v>
      </c>
      <c r="G56" s="65">
        <v>45536</v>
      </c>
      <c r="H56">
        <v>356</v>
      </c>
      <c r="I56">
        <v>0</v>
      </c>
      <c r="J56" s="198" t="s">
        <v>30</v>
      </c>
      <c r="K56">
        <v>343</v>
      </c>
      <c r="L56">
        <v>369</v>
      </c>
      <c r="M56">
        <v>352</v>
      </c>
      <c r="N56">
        <v>101.1</v>
      </c>
      <c r="O56" s="198" t="s">
        <v>27</v>
      </c>
      <c r="P56">
        <v>333</v>
      </c>
      <c r="Q56">
        <v>0</v>
      </c>
      <c r="R56" s="91"/>
    </row>
    <row r="57" spans="1:18" x14ac:dyDescent="0.25">
      <c r="A57" s="90" t="str">
        <f t="shared" si="0"/>
        <v>Australian Capital TerritoryCompletions455361st revision</v>
      </c>
      <c r="B57" s="199">
        <v>56</v>
      </c>
      <c r="C57" s="198" t="s">
        <v>2</v>
      </c>
      <c r="D57" s="198" t="s">
        <v>74</v>
      </c>
      <c r="E57">
        <v>2025.1</v>
      </c>
      <c r="F57">
        <v>123</v>
      </c>
      <c r="G57" s="65">
        <v>45536</v>
      </c>
      <c r="H57">
        <v>361</v>
      </c>
      <c r="I57">
        <v>0</v>
      </c>
      <c r="J57" s="198" t="s">
        <v>0</v>
      </c>
      <c r="K57">
        <v>345</v>
      </c>
      <c r="L57">
        <v>377</v>
      </c>
      <c r="M57">
        <v>352</v>
      </c>
      <c r="N57">
        <v>102.6</v>
      </c>
      <c r="O57" s="198" t="s">
        <v>27</v>
      </c>
      <c r="P57">
        <v>346</v>
      </c>
      <c r="Q57">
        <v>0</v>
      </c>
      <c r="R57" s="91"/>
    </row>
    <row r="58" spans="1:18" x14ac:dyDescent="0.25">
      <c r="A58" s="90" t="str">
        <f t="shared" si="0"/>
        <v>Australian Capital TerritoryIn-training44896Initial</v>
      </c>
      <c r="B58" s="199">
        <v>57</v>
      </c>
      <c r="C58" s="198" t="s">
        <v>2</v>
      </c>
      <c r="D58" s="198" t="s">
        <v>75</v>
      </c>
      <c r="E58">
        <v>2023.2</v>
      </c>
      <c r="F58">
        <v>115</v>
      </c>
      <c r="G58" s="65">
        <v>44896</v>
      </c>
      <c r="H58">
        <v>6043</v>
      </c>
      <c r="I58">
        <v>0</v>
      </c>
      <c r="J58" s="198" t="s">
        <v>30</v>
      </c>
      <c r="K58">
        <v>5940</v>
      </c>
      <c r="L58">
        <v>6146</v>
      </c>
      <c r="M58">
        <v>6552</v>
      </c>
      <c r="N58">
        <v>92.2</v>
      </c>
      <c r="O58" s="198" t="s">
        <v>26</v>
      </c>
      <c r="P58">
        <v>6567</v>
      </c>
      <c r="Q58">
        <v>0</v>
      </c>
      <c r="R58" s="91"/>
    </row>
    <row r="59" spans="1:18" x14ac:dyDescent="0.25">
      <c r="A59" s="90" t="str">
        <f t="shared" si="0"/>
        <v>Australian Capital TerritoryIn-training448961st revision</v>
      </c>
      <c r="B59" s="199">
        <v>58</v>
      </c>
      <c r="C59" s="198" t="s">
        <v>2</v>
      </c>
      <c r="D59" s="198" t="s">
        <v>75</v>
      </c>
      <c r="E59">
        <v>2023.2</v>
      </c>
      <c r="F59">
        <v>116</v>
      </c>
      <c r="G59" s="65">
        <v>44896</v>
      </c>
      <c r="H59">
        <v>6081</v>
      </c>
      <c r="I59">
        <v>0</v>
      </c>
      <c r="J59" s="198" t="s">
        <v>0</v>
      </c>
      <c r="K59">
        <v>6006</v>
      </c>
      <c r="L59">
        <v>6156</v>
      </c>
      <c r="M59">
        <v>6552</v>
      </c>
      <c r="N59">
        <v>92.8</v>
      </c>
      <c r="O59" s="198" t="s">
        <v>26</v>
      </c>
      <c r="P59">
        <v>6564</v>
      </c>
      <c r="Q59">
        <v>0</v>
      </c>
      <c r="R59" s="91"/>
    </row>
    <row r="60" spans="1:18" x14ac:dyDescent="0.25">
      <c r="A60" s="90" t="str">
        <f t="shared" si="0"/>
        <v>Australian Capital TerritoryIn-training44986Initial</v>
      </c>
      <c r="B60" s="199">
        <v>59</v>
      </c>
      <c r="C60" s="198" t="s">
        <v>2</v>
      </c>
      <c r="D60" s="198" t="s">
        <v>75</v>
      </c>
      <c r="E60">
        <v>2023.3</v>
      </c>
      <c r="F60">
        <v>116</v>
      </c>
      <c r="G60" s="65">
        <v>44986</v>
      </c>
      <c r="H60">
        <v>6034</v>
      </c>
      <c r="I60">
        <v>0</v>
      </c>
      <c r="J60" s="198" t="s">
        <v>30</v>
      </c>
      <c r="K60">
        <v>5920</v>
      </c>
      <c r="L60">
        <v>6148</v>
      </c>
      <c r="M60">
        <v>6524</v>
      </c>
      <c r="N60">
        <v>92.5</v>
      </c>
      <c r="O60" s="198" t="s">
        <v>26</v>
      </c>
      <c r="P60">
        <v>6541</v>
      </c>
      <c r="Q60">
        <v>0</v>
      </c>
      <c r="R60" s="91"/>
    </row>
    <row r="61" spans="1:18" x14ac:dyDescent="0.25">
      <c r="A61" s="90" t="str">
        <f t="shared" si="0"/>
        <v>Australian Capital TerritoryIn-training449861st revision</v>
      </c>
      <c r="B61" s="199">
        <v>60</v>
      </c>
      <c r="C61" s="198" t="s">
        <v>2</v>
      </c>
      <c r="D61" s="198" t="s">
        <v>75</v>
      </c>
      <c r="E61">
        <v>2023.3</v>
      </c>
      <c r="F61">
        <v>117</v>
      </c>
      <c r="G61" s="65">
        <v>44986</v>
      </c>
      <c r="H61">
        <v>6059</v>
      </c>
      <c r="I61">
        <v>0</v>
      </c>
      <c r="J61" s="198" t="s">
        <v>0</v>
      </c>
      <c r="K61">
        <v>5982</v>
      </c>
      <c r="L61">
        <v>6136</v>
      </c>
      <c r="M61">
        <v>6524</v>
      </c>
      <c r="N61">
        <v>92.9</v>
      </c>
      <c r="O61" s="198" t="s">
        <v>26</v>
      </c>
      <c r="P61">
        <v>6538</v>
      </c>
      <c r="Q61">
        <v>0</v>
      </c>
      <c r="R61" s="91"/>
    </row>
    <row r="62" spans="1:18" x14ac:dyDescent="0.25">
      <c r="A62" s="90" t="str">
        <f t="shared" si="0"/>
        <v>Australian Capital TerritoryIn-training45078Initial</v>
      </c>
      <c r="B62" s="199">
        <v>61</v>
      </c>
      <c r="C62" s="198" t="s">
        <v>2</v>
      </c>
      <c r="D62" s="198" t="s">
        <v>75</v>
      </c>
      <c r="E62">
        <v>2023.4</v>
      </c>
      <c r="F62">
        <v>117</v>
      </c>
      <c r="G62" s="65">
        <v>45078</v>
      </c>
      <c r="H62">
        <v>5662</v>
      </c>
      <c r="I62">
        <v>0</v>
      </c>
      <c r="J62" s="198" t="s">
        <v>30</v>
      </c>
      <c r="K62">
        <v>5561</v>
      </c>
      <c r="L62">
        <v>5763</v>
      </c>
      <c r="M62">
        <v>6142</v>
      </c>
      <c r="N62">
        <v>92.2</v>
      </c>
      <c r="O62" s="198" t="s">
        <v>26</v>
      </c>
      <c r="P62">
        <v>6186</v>
      </c>
      <c r="Q62">
        <v>0</v>
      </c>
      <c r="R62" s="91"/>
    </row>
    <row r="63" spans="1:18" x14ac:dyDescent="0.25">
      <c r="A63" s="90" t="str">
        <f t="shared" si="0"/>
        <v>Australian Capital TerritoryIn-training450781st revision</v>
      </c>
      <c r="B63" s="199">
        <v>62</v>
      </c>
      <c r="C63" s="198" t="s">
        <v>2</v>
      </c>
      <c r="D63" s="198" t="s">
        <v>75</v>
      </c>
      <c r="E63">
        <v>2023.4</v>
      </c>
      <c r="F63">
        <v>118</v>
      </c>
      <c r="G63" s="65">
        <v>45078</v>
      </c>
      <c r="H63">
        <v>5701</v>
      </c>
      <c r="I63">
        <v>0</v>
      </c>
      <c r="J63" s="198" t="s">
        <v>0</v>
      </c>
      <c r="K63">
        <v>5636</v>
      </c>
      <c r="L63">
        <v>5766</v>
      </c>
      <c r="M63">
        <v>6142</v>
      </c>
      <c r="N63">
        <v>92.8</v>
      </c>
      <c r="O63" s="198" t="s">
        <v>26</v>
      </c>
      <c r="P63">
        <v>6172</v>
      </c>
      <c r="Q63">
        <v>0</v>
      </c>
      <c r="R63" s="91"/>
    </row>
    <row r="64" spans="1:18" x14ac:dyDescent="0.25">
      <c r="A64" s="90" t="str">
        <f t="shared" si="0"/>
        <v>Australian Capital TerritoryIn-training45170Initial</v>
      </c>
      <c r="B64" s="199">
        <v>63</v>
      </c>
      <c r="C64" s="198" t="s">
        <v>2</v>
      </c>
      <c r="D64" s="198" t="s">
        <v>75</v>
      </c>
      <c r="E64">
        <v>2024.1</v>
      </c>
      <c r="F64">
        <v>118</v>
      </c>
      <c r="G64" s="65">
        <v>45170</v>
      </c>
      <c r="H64">
        <v>5392</v>
      </c>
      <c r="I64">
        <v>0</v>
      </c>
      <c r="J64" s="198" t="s">
        <v>30</v>
      </c>
      <c r="K64">
        <v>5296</v>
      </c>
      <c r="L64">
        <v>5488</v>
      </c>
      <c r="M64">
        <v>5876</v>
      </c>
      <c r="N64">
        <v>91.8</v>
      </c>
      <c r="O64" s="198" t="s">
        <v>26</v>
      </c>
      <c r="P64">
        <v>5922</v>
      </c>
      <c r="Q64">
        <v>0</v>
      </c>
      <c r="R64" s="91"/>
    </row>
    <row r="65" spans="1:18" x14ac:dyDescent="0.25">
      <c r="A65" s="90" t="str">
        <f t="shared" si="0"/>
        <v>Australian Capital TerritoryIn-training451701st revision</v>
      </c>
      <c r="B65" s="199">
        <v>64</v>
      </c>
      <c r="C65" s="198" t="s">
        <v>2</v>
      </c>
      <c r="D65" s="198" t="s">
        <v>75</v>
      </c>
      <c r="E65">
        <v>2024.1</v>
      </c>
      <c r="F65">
        <v>119</v>
      </c>
      <c r="G65" s="65">
        <v>45170</v>
      </c>
      <c r="H65">
        <v>5439</v>
      </c>
      <c r="I65">
        <v>0</v>
      </c>
      <c r="J65" s="198" t="s">
        <v>0</v>
      </c>
      <c r="K65">
        <v>5373</v>
      </c>
      <c r="L65">
        <v>5505</v>
      </c>
      <c r="M65">
        <v>5876</v>
      </c>
      <c r="N65">
        <v>92.6</v>
      </c>
      <c r="O65" s="198" t="s">
        <v>26</v>
      </c>
      <c r="P65">
        <v>5913</v>
      </c>
      <c r="Q65">
        <v>0</v>
      </c>
      <c r="R65" s="91"/>
    </row>
    <row r="66" spans="1:18" x14ac:dyDescent="0.25">
      <c r="A66" s="90" t="str">
        <f t="shared" ref="A66:A129" si="1">CONCATENATE(C66,D66,G66,J66)</f>
        <v>New South WalesCancellations/withdrawals44896Initial</v>
      </c>
      <c r="B66" s="199">
        <v>65</v>
      </c>
      <c r="C66" s="198" t="s">
        <v>3</v>
      </c>
      <c r="D66" s="198" t="s">
        <v>72</v>
      </c>
      <c r="E66">
        <v>2023.2</v>
      </c>
      <c r="F66">
        <v>115</v>
      </c>
      <c r="G66" s="65">
        <v>44896</v>
      </c>
      <c r="H66">
        <v>8881</v>
      </c>
      <c r="I66">
        <v>0</v>
      </c>
      <c r="J66" s="198" t="s">
        <v>30</v>
      </c>
      <c r="K66">
        <v>8157</v>
      </c>
      <c r="L66">
        <v>9605</v>
      </c>
      <c r="M66">
        <v>9447</v>
      </c>
      <c r="N66">
        <v>94</v>
      </c>
      <c r="O66" s="198" t="s">
        <v>27</v>
      </c>
      <c r="P66">
        <v>6694</v>
      </c>
      <c r="Q66">
        <v>0</v>
      </c>
      <c r="R66" s="91"/>
    </row>
    <row r="67" spans="1:18" x14ac:dyDescent="0.25">
      <c r="A67" s="90" t="str">
        <f t="shared" si="1"/>
        <v>New South WalesCancellations/withdrawals448961st revision</v>
      </c>
      <c r="B67" s="199">
        <v>66</v>
      </c>
      <c r="C67" s="198" t="s">
        <v>3</v>
      </c>
      <c r="D67" s="198" t="s">
        <v>72</v>
      </c>
      <c r="E67">
        <v>2023.2</v>
      </c>
      <c r="F67">
        <v>116</v>
      </c>
      <c r="G67" s="65">
        <v>44896</v>
      </c>
      <c r="H67">
        <v>9231</v>
      </c>
      <c r="I67">
        <v>0</v>
      </c>
      <c r="J67" s="198" t="s">
        <v>0</v>
      </c>
      <c r="K67">
        <v>8896</v>
      </c>
      <c r="L67">
        <v>9566</v>
      </c>
      <c r="M67">
        <v>9447</v>
      </c>
      <c r="N67">
        <v>97.7</v>
      </c>
      <c r="O67" s="198" t="s">
        <v>27</v>
      </c>
      <c r="P67">
        <v>8008</v>
      </c>
      <c r="Q67">
        <v>0</v>
      </c>
      <c r="R67" s="91"/>
    </row>
    <row r="68" spans="1:18" x14ac:dyDescent="0.25">
      <c r="A68" s="90" t="str">
        <f t="shared" si="1"/>
        <v>New South WalesCancellations/withdrawals44986Initial</v>
      </c>
      <c r="B68" s="199">
        <v>67</v>
      </c>
      <c r="C68" s="198" t="s">
        <v>3</v>
      </c>
      <c r="D68" s="198" t="s">
        <v>72</v>
      </c>
      <c r="E68">
        <v>2023.3</v>
      </c>
      <c r="F68">
        <v>116</v>
      </c>
      <c r="G68" s="65">
        <v>44986</v>
      </c>
      <c r="H68">
        <v>9882</v>
      </c>
      <c r="I68">
        <v>0</v>
      </c>
      <c r="J68" s="198" t="s">
        <v>30</v>
      </c>
      <c r="K68">
        <v>9030</v>
      </c>
      <c r="L68">
        <v>10734</v>
      </c>
      <c r="M68">
        <v>9909</v>
      </c>
      <c r="N68">
        <v>99.7</v>
      </c>
      <c r="O68" s="198" t="s">
        <v>27</v>
      </c>
      <c r="P68">
        <v>7418</v>
      </c>
      <c r="Q68">
        <v>0</v>
      </c>
      <c r="R68" s="91"/>
    </row>
    <row r="69" spans="1:18" x14ac:dyDescent="0.25">
      <c r="A69" s="90" t="str">
        <f t="shared" si="1"/>
        <v>New South WalesCancellations/withdrawals449861st revision</v>
      </c>
      <c r="B69" s="199">
        <v>68</v>
      </c>
      <c r="C69" s="198" t="s">
        <v>3</v>
      </c>
      <c r="D69" s="198" t="s">
        <v>72</v>
      </c>
      <c r="E69">
        <v>2023.3</v>
      </c>
      <c r="F69">
        <v>117</v>
      </c>
      <c r="G69" s="65">
        <v>44986</v>
      </c>
      <c r="H69">
        <v>10062</v>
      </c>
      <c r="I69">
        <v>0</v>
      </c>
      <c r="J69" s="198" t="s">
        <v>0</v>
      </c>
      <c r="K69">
        <v>9743</v>
      </c>
      <c r="L69">
        <v>10381</v>
      </c>
      <c r="M69">
        <v>9909</v>
      </c>
      <c r="N69">
        <v>101.5</v>
      </c>
      <c r="O69" s="198" t="s">
        <v>27</v>
      </c>
      <c r="P69">
        <v>8699</v>
      </c>
      <c r="Q69">
        <v>0</v>
      </c>
      <c r="R69" s="91"/>
    </row>
    <row r="70" spans="1:18" x14ac:dyDescent="0.25">
      <c r="A70" s="90" t="str">
        <f t="shared" si="1"/>
        <v>New South WalesCancellations/withdrawals45078Initial</v>
      </c>
      <c r="B70" s="199">
        <v>69</v>
      </c>
      <c r="C70" s="198" t="s">
        <v>3</v>
      </c>
      <c r="D70" s="198" t="s">
        <v>72</v>
      </c>
      <c r="E70">
        <v>2023.4</v>
      </c>
      <c r="F70">
        <v>117</v>
      </c>
      <c r="G70" s="65">
        <v>45078</v>
      </c>
      <c r="H70">
        <v>9324</v>
      </c>
      <c r="I70">
        <v>0</v>
      </c>
      <c r="J70" s="198" t="s">
        <v>30</v>
      </c>
      <c r="K70">
        <v>8677</v>
      </c>
      <c r="L70">
        <v>9971</v>
      </c>
      <c r="M70">
        <v>8924</v>
      </c>
      <c r="N70">
        <v>104.5</v>
      </c>
      <c r="O70" s="198" t="s">
        <v>27</v>
      </c>
      <c r="P70">
        <v>6946</v>
      </c>
      <c r="Q70">
        <v>0</v>
      </c>
      <c r="R70" s="91"/>
    </row>
    <row r="71" spans="1:18" x14ac:dyDescent="0.25">
      <c r="A71" s="90" t="str">
        <f t="shared" si="1"/>
        <v>New South WalesCancellations/withdrawals450781st revision</v>
      </c>
      <c r="B71" s="199">
        <v>70</v>
      </c>
      <c r="C71" s="198" t="s">
        <v>3</v>
      </c>
      <c r="D71" s="198" t="s">
        <v>72</v>
      </c>
      <c r="E71">
        <v>2023.4</v>
      </c>
      <c r="F71">
        <v>118</v>
      </c>
      <c r="G71" s="65">
        <v>45078</v>
      </c>
      <c r="H71">
        <v>9115</v>
      </c>
      <c r="I71">
        <v>0</v>
      </c>
      <c r="J71" s="198" t="s">
        <v>0</v>
      </c>
      <c r="K71">
        <v>8824</v>
      </c>
      <c r="L71">
        <v>9406</v>
      </c>
      <c r="M71">
        <v>8924</v>
      </c>
      <c r="N71">
        <v>102.1</v>
      </c>
      <c r="O71" s="198" t="s">
        <v>27</v>
      </c>
      <c r="P71">
        <v>7876</v>
      </c>
      <c r="Q71">
        <v>0</v>
      </c>
      <c r="R71" s="91"/>
    </row>
    <row r="72" spans="1:18" x14ac:dyDescent="0.25">
      <c r="A72" s="90" t="str">
        <f t="shared" si="1"/>
        <v>New South WalesCancellations/withdrawals45170Initial</v>
      </c>
      <c r="B72" s="199">
        <v>71</v>
      </c>
      <c r="C72" s="198" t="s">
        <v>3</v>
      </c>
      <c r="D72" s="198" t="s">
        <v>72</v>
      </c>
      <c r="E72">
        <v>2024.1</v>
      </c>
      <c r="F72">
        <v>118</v>
      </c>
      <c r="G72" s="65">
        <v>45170</v>
      </c>
      <c r="H72">
        <v>10016</v>
      </c>
      <c r="I72">
        <v>0</v>
      </c>
      <c r="J72" s="198" t="s">
        <v>30</v>
      </c>
      <c r="K72">
        <v>9264</v>
      </c>
      <c r="L72">
        <v>10768</v>
      </c>
      <c r="M72">
        <v>9364</v>
      </c>
      <c r="N72">
        <v>107</v>
      </c>
      <c r="O72" s="198" t="s">
        <v>27</v>
      </c>
      <c r="P72">
        <v>7470</v>
      </c>
      <c r="Q72">
        <v>0</v>
      </c>
      <c r="R72" s="91"/>
    </row>
    <row r="73" spans="1:18" x14ac:dyDescent="0.25">
      <c r="A73" s="90" t="str">
        <f t="shared" si="1"/>
        <v>New South WalesCancellations/withdrawals451701st revision</v>
      </c>
      <c r="B73" s="199">
        <v>72</v>
      </c>
      <c r="C73" s="198" t="s">
        <v>3</v>
      </c>
      <c r="D73" s="198" t="s">
        <v>72</v>
      </c>
      <c r="E73">
        <v>2024.1</v>
      </c>
      <c r="F73">
        <v>119</v>
      </c>
      <c r="G73" s="65">
        <v>45170</v>
      </c>
      <c r="H73">
        <v>9661</v>
      </c>
      <c r="I73">
        <v>0</v>
      </c>
      <c r="J73" s="198" t="s">
        <v>0</v>
      </c>
      <c r="K73">
        <v>9345</v>
      </c>
      <c r="L73">
        <v>9977</v>
      </c>
      <c r="M73">
        <v>9364</v>
      </c>
      <c r="N73">
        <v>103.2</v>
      </c>
      <c r="O73" s="198" t="s">
        <v>27</v>
      </c>
      <c r="P73">
        <v>8327</v>
      </c>
      <c r="Q73">
        <v>0</v>
      </c>
      <c r="R73" s="91"/>
    </row>
    <row r="74" spans="1:18" x14ac:dyDescent="0.25">
      <c r="A74" s="90" t="str">
        <f t="shared" si="1"/>
        <v>New South WalesCommencements45261Initial</v>
      </c>
      <c r="B74" s="199">
        <v>73</v>
      </c>
      <c r="C74" s="198" t="s">
        <v>3</v>
      </c>
      <c r="D74" s="198" t="s">
        <v>73</v>
      </c>
      <c r="E74">
        <v>2024.2</v>
      </c>
      <c r="F74">
        <v>119</v>
      </c>
      <c r="G74" s="65">
        <v>45261</v>
      </c>
      <c r="H74">
        <v>10365</v>
      </c>
      <c r="I74">
        <v>10721</v>
      </c>
      <c r="J74" s="198" t="s">
        <v>30</v>
      </c>
      <c r="K74">
        <v>7171</v>
      </c>
      <c r="L74">
        <v>13559</v>
      </c>
      <c r="M74">
        <v>9401</v>
      </c>
      <c r="N74">
        <v>110.3</v>
      </c>
      <c r="O74" s="198" t="s">
        <v>27</v>
      </c>
      <c r="P74">
        <v>8677</v>
      </c>
      <c r="Q74">
        <v>114</v>
      </c>
      <c r="R74" s="91"/>
    </row>
    <row r="75" spans="1:18" x14ac:dyDescent="0.25">
      <c r="A75" s="90" t="str">
        <f t="shared" si="1"/>
        <v>New South WalesCommencements452611st revision</v>
      </c>
      <c r="B75" s="199">
        <v>74</v>
      </c>
      <c r="C75" s="198" t="s">
        <v>3</v>
      </c>
      <c r="D75" s="198" t="s">
        <v>73</v>
      </c>
      <c r="E75">
        <v>2024.2</v>
      </c>
      <c r="F75">
        <v>120</v>
      </c>
      <c r="G75" s="65">
        <v>45261</v>
      </c>
      <c r="H75">
        <v>9727</v>
      </c>
      <c r="I75">
        <v>0</v>
      </c>
      <c r="J75" s="198" t="s">
        <v>0</v>
      </c>
      <c r="K75">
        <v>9118</v>
      </c>
      <c r="L75">
        <v>10336</v>
      </c>
      <c r="M75">
        <v>9401</v>
      </c>
      <c r="N75">
        <v>103.5</v>
      </c>
      <c r="O75" s="198" t="s">
        <v>27</v>
      </c>
      <c r="P75">
        <v>9294</v>
      </c>
      <c r="Q75">
        <v>0</v>
      </c>
      <c r="R75" s="91"/>
    </row>
    <row r="76" spans="1:18" x14ac:dyDescent="0.25">
      <c r="A76" s="90" t="str">
        <f t="shared" si="1"/>
        <v>New South WalesCommencements45352Initial</v>
      </c>
      <c r="B76" s="199">
        <v>75</v>
      </c>
      <c r="C76" s="198" t="s">
        <v>3</v>
      </c>
      <c r="D76" s="198" t="s">
        <v>73</v>
      </c>
      <c r="E76">
        <v>2024.3</v>
      </c>
      <c r="F76">
        <v>120</v>
      </c>
      <c r="G76" s="65">
        <v>45352</v>
      </c>
      <c r="H76">
        <v>19395</v>
      </c>
      <c r="I76">
        <v>20054</v>
      </c>
      <c r="J76" s="198" t="s">
        <v>30</v>
      </c>
      <c r="K76">
        <v>13513</v>
      </c>
      <c r="L76">
        <v>25277</v>
      </c>
      <c r="M76">
        <v>17168</v>
      </c>
      <c r="N76">
        <v>113</v>
      </c>
      <c r="O76" s="198" t="s">
        <v>27</v>
      </c>
      <c r="P76">
        <v>16193</v>
      </c>
      <c r="Q76">
        <v>116.8</v>
      </c>
      <c r="R76" s="91"/>
    </row>
    <row r="77" spans="1:18" x14ac:dyDescent="0.25">
      <c r="A77" s="90" t="str">
        <f t="shared" si="1"/>
        <v>New South WalesCommencements453521st revision</v>
      </c>
      <c r="B77" s="199">
        <v>76</v>
      </c>
      <c r="C77" s="198" t="s">
        <v>3</v>
      </c>
      <c r="D77" s="198" t="s">
        <v>73</v>
      </c>
      <c r="E77">
        <v>2024.3</v>
      </c>
      <c r="F77">
        <v>121</v>
      </c>
      <c r="G77" s="65">
        <v>45352</v>
      </c>
      <c r="H77">
        <v>17799</v>
      </c>
      <c r="I77">
        <v>0</v>
      </c>
      <c r="J77" s="198" t="s">
        <v>0</v>
      </c>
      <c r="K77">
        <v>16636</v>
      </c>
      <c r="L77">
        <v>18962</v>
      </c>
      <c r="M77">
        <v>17168</v>
      </c>
      <c r="N77">
        <v>103.7</v>
      </c>
      <c r="O77" s="198" t="s">
        <v>27</v>
      </c>
      <c r="P77">
        <v>17021</v>
      </c>
      <c r="Q77">
        <v>0</v>
      </c>
      <c r="R77" s="91"/>
    </row>
    <row r="78" spans="1:18" x14ac:dyDescent="0.25">
      <c r="A78" s="90" t="str">
        <f t="shared" si="1"/>
        <v>New South WalesCommencements45444Initial</v>
      </c>
      <c r="B78" s="199">
        <v>77</v>
      </c>
      <c r="C78" s="198" t="s">
        <v>3</v>
      </c>
      <c r="D78" s="198" t="s">
        <v>73</v>
      </c>
      <c r="E78">
        <v>2024.4</v>
      </c>
      <c r="F78">
        <v>121</v>
      </c>
      <c r="G78" s="65">
        <v>45444</v>
      </c>
      <c r="H78">
        <v>11139</v>
      </c>
      <c r="I78">
        <v>11517</v>
      </c>
      <c r="J78" s="198" t="s">
        <v>30</v>
      </c>
      <c r="K78">
        <v>7771</v>
      </c>
      <c r="L78">
        <v>14507</v>
      </c>
      <c r="M78">
        <v>10156</v>
      </c>
      <c r="N78">
        <v>109.7</v>
      </c>
      <c r="O78" s="198" t="s">
        <v>27</v>
      </c>
      <c r="P78">
        <v>9295</v>
      </c>
      <c r="Q78">
        <v>113.4</v>
      </c>
      <c r="R78" s="91"/>
    </row>
    <row r="79" spans="1:18" x14ac:dyDescent="0.25">
      <c r="A79" s="90" t="str">
        <f t="shared" si="1"/>
        <v>New South WalesCommencements454441st revision</v>
      </c>
      <c r="B79" s="199">
        <v>78</v>
      </c>
      <c r="C79" s="198" t="s">
        <v>3</v>
      </c>
      <c r="D79" s="198" t="s">
        <v>73</v>
      </c>
      <c r="E79">
        <v>2024.4</v>
      </c>
      <c r="F79">
        <v>122</v>
      </c>
      <c r="G79" s="65">
        <v>45444</v>
      </c>
      <c r="H79">
        <v>10497</v>
      </c>
      <c r="I79">
        <v>0</v>
      </c>
      <c r="J79" s="198" t="s">
        <v>0</v>
      </c>
      <c r="K79">
        <v>9797</v>
      </c>
      <c r="L79">
        <v>11197</v>
      </c>
      <c r="M79">
        <v>10156</v>
      </c>
      <c r="N79">
        <v>103.4</v>
      </c>
      <c r="O79" s="198" t="s">
        <v>27</v>
      </c>
      <c r="P79">
        <v>10045</v>
      </c>
      <c r="Q79">
        <v>0</v>
      </c>
      <c r="R79" s="91"/>
    </row>
    <row r="80" spans="1:18" x14ac:dyDescent="0.25">
      <c r="A80" s="90" t="str">
        <f t="shared" si="1"/>
        <v>New South WalesCommencements45536Initial</v>
      </c>
      <c r="B80" s="199">
        <v>79</v>
      </c>
      <c r="C80" s="198" t="s">
        <v>3</v>
      </c>
      <c r="D80" s="198" t="s">
        <v>73</v>
      </c>
      <c r="E80">
        <v>2025.1</v>
      </c>
      <c r="F80">
        <v>122</v>
      </c>
      <c r="G80" s="65">
        <v>45536</v>
      </c>
      <c r="H80">
        <v>7758</v>
      </c>
      <c r="I80">
        <v>8021</v>
      </c>
      <c r="J80" s="198" t="s">
        <v>30</v>
      </c>
      <c r="K80">
        <v>5413</v>
      </c>
      <c r="L80">
        <v>10103</v>
      </c>
      <c r="M80">
        <v>7060</v>
      </c>
      <c r="N80">
        <v>109.9</v>
      </c>
      <c r="O80" s="198" t="s">
        <v>27</v>
      </c>
      <c r="P80">
        <v>6473</v>
      </c>
      <c r="Q80">
        <v>113.6</v>
      </c>
      <c r="R80" s="91"/>
    </row>
    <row r="81" spans="1:18" x14ac:dyDescent="0.25">
      <c r="A81" s="90" t="str">
        <f t="shared" si="1"/>
        <v>New South WalesCommencements455361st revision</v>
      </c>
      <c r="B81" s="199">
        <v>80</v>
      </c>
      <c r="C81" s="198" t="s">
        <v>3</v>
      </c>
      <c r="D81" s="198" t="s">
        <v>73</v>
      </c>
      <c r="E81">
        <v>2025.1</v>
      </c>
      <c r="F81">
        <v>123</v>
      </c>
      <c r="G81" s="65">
        <v>45536</v>
      </c>
      <c r="H81">
        <v>7237</v>
      </c>
      <c r="I81">
        <v>0</v>
      </c>
      <c r="J81" s="198" t="s">
        <v>0</v>
      </c>
      <c r="K81">
        <v>6722</v>
      </c>
      <c r="L81">
        <v>7752</v>
      </c>
      <c r="M81">
        <v>7060</v>
      </c>
      <c r="N81">
        <v>102.5</v>
      </c>
      <c r="O81" s="198" t="s">
        <v>27</v>
      </c>
      <c r="P81">
        <v>6937</v>
      </c>
      <c r="Q81">
        <v>0</v>
      </c>
      <c r="R81" s="91"/>
    </row>
    <row r="82" spans="1:18" x14ac:dyDescent="0.25">
      <c r="A82" s="90" t="str">
        <f t="shared" si="1"/>
        <v>New South WalesCompletions45261Initial</v>
      </c>
      <c r="B82" s="199">
        <v>81</v>
      </c>
      <c r="C82" s="198" t="s">
        <v>3</v>
      </c>
      <c r="D82" s="198" t="s">
        <v>74</v>
      </c>
      <c r="E82">
        <v>2024.2</v>
      </c>
      <c r="F82">
        <v>119</v>
      </c>
      <c r="G82" s="65">
        <v>45261</v>
      </c>
      <c r="H82">
        <v>8126</v>
      </c>
      <c r="I82">
        <v>0</v>
      </c>
      <c r="J82" s="198" t="s">
        <v>30</v>
      </c>
      <c r="K82">
        <v>7783</v>
      </c>
      <c r="L82">
        <v>8469</v>
      </c>
      <c r="M82">
        <v>8031</v>
      </c>
      <c r="N82">
        <v>101.2</v>
      </c>
      <c r="O82" s="198" t="s">
        <v>27</v>
      </c>
      <c r="P82">
        <v>7519</v>
      </c>
      <c r="Q82">
        <v>0</v>
      </c>
      <c r="R82" s="91"/>
    </row>
    <row r="83" spans="1:18" x14ac:dyDescent="0.25">
      <c r="A83" s="90" t="str">
        <f t="shared" si="1"/>
        <v>New South WalesCompletions452611st revision</v>
      </c>
      <c r="B83" s="199">
        <v>82</v>
      </c>
      <c r="C83" s="198" t="s">
        <v>3</v>
      </c>
      <c r="D83" s="198" t="s">
        <v>74</v>
      </c>
      <c r="E83">
        <v>2024.2</v>
      </c>
      <c r="F83">
        <v>120</v>
      </c>
      <c r="G83" s="65">
        <v>45261</v>
      </c>
      <c r="H83">
        <v>8106</v>
      </c>
      <c r="I83">
        <v>0</v>
      </c>
      <c r="J83" s="198" t="s">
        <v>0</v>
      </c>
      <c r="K83">
        <v>7926</v>
      </c>
      <c r="L83">
        <v>8286</v>
      </c>
      <c r="M83">
        <v>8031</v>
      </c>
      <c r="N83">
        <v>100.9</v>
      </c>
      <c r="O83" s="198" t="s">
        <v>27</v>
      </c>
      <c r="P83">
        <v>7845</v>
      </c>
      <c r="Q83">
        <v>0</v>
      </c>
      <c r="R83" s="91"/>
    </row>
    <row r="84" spans="1:18" x14ac:dyDescent="0.25">
      <c r="A84" s="90" t="str">
        <f t="shared" si="1"/>
        <v>New South WalesCompletions45352Initial</v>
      </c>
      <c r="B84" s="199">
        <v>83</v>
      </c>
      <c r="C84" s="198" t="s">
        <v>3</v>
      </c>
      <c r="D84" s="198" t="s">
        <v>74</v>
      </c>
      <c r="E84">
        <v>2024.3</v>
      </c>
      <c r="F84">
        <v>120</v>
      </c>
      <c r="G84" s="65">
        <v>45352</v>
      </c>
      <c r="H84">
        <v>9807</v>
      </c>
      <c r="I84">
        <v>0</v>
      </c>
      <c r="J84" s="198" t="s">
        <v>30</v>
      </c>
      <c r="K84">
        <v>9328</v>
      </c>
      <c r="L84">
        <v>10286</v>
      </c>
      <c r="M84">
        <v>9483</v>
      </c>
      <c r="N84">
        <v>103.4</v>
      </c>
      <c r="O84" s="198" t="s">
        <v>27</v>
      </c>
      <c r="P84">
        <v>9089</v>
      </c>
      <c r="Q84">
        <v>0</v>
      </c>
      <c r="R84" s="91"/>
    </row>
    <row r="85" spans="1:18" x14ac:dyDescent="0.25">
      <c r="A85" s="90" t="str">
        <f t="shared" si="1"/>
        <v>New South WalesCompletions453521st revision</v>
      </c>
      <c r="B85" s="199">
        <v>84</v>
      </c>
      <c r="C85" s="198" t="s">
        <v>3</v>
      </c>
      <c r="D85" s="198" t="s">
        <v>74</v>
      </c>
      <c r="E85">
        <v>2024.3</v>
      </c>
      <c r="F85">
        <v>121</v>
      </c>
      <c r="G85" s="65">
        <v>45352</v>
      </c>
      <c r="H85">
        <v>9669</v>
      </c>
      <c r="I85">
        <v>0</v>
      </c>
      <c r="J85" s="198" t="s">
        <v>0</v>
      </c>
      <c r="K85">
        <v>9426</v>
      </c>
      <c r="L85">
        <v>9912</v>
      </c>
      <c r="M85">
        <v>9483</v>
      </c>
      <c r="N85">
        <v>102</v>
      </c>
      <c r="O85" s="198" t="s">
        <v>27</v>
      </c>
      <c r="P85">
        <v>9362</v>
      </c>
      <c r="Q85">
        <v>0</v>
      </c>
      <c r="R85" s="91"/>
    </row>
    <row r="86" spans="1:18" x14ac:dyDescent="0.25">
      <c r="A86" s="90" t="str">
        <f t="shared" si="1"/>
        <v>New South WalesCompletions45444Initial</v>
      </c>
      <c r="B86" s="199">
        <v>85</v>
      </c>
      <c r="C86" s="198" t="s">
        <v>3</v>
      </c>
      <c r="D86" s="198" t="s">
        <v>74</v>
      </c>
      <c r="E86">
        <v>2024.4</v>
      </c>
      <c r="F86">
        <v>121</v>
      </c>
      <c r="G86" s="65">
        <v>45444</v>
      </c>
      <c r="H86">
        <v>6872</v>
      </c>
      <c r="I86">
        <v>0</v>
      </c>
      <c r="J86" s="198" t="s">
        <v>30</v>
      </c>
      <c r="K86">
        <v>6516</v>
      </c>
      <c r="L86">
        <v>7228</v>
      </c>
      <c r="M86">
        <v>6677</v>
      </c>
      <c r="N86">
        <v>102.9</v>
      </c>
      <c r="O86" s="198" t="s">
        <v>27</v>
      </c>
      <c r="P86">
        <v>6378</v>
      </c>
      <c r="Q86">
        <v>0</v>
      </c>
      <c r="R86" s="91"/>
    </row>
    <row r="87" spans="1:18" x14ac:dyDescent="0.25">
      <c r="A87" s="90" t="str">
        <f t="shared" si="1"/>
        <v>New South WalesCompletions454441st revision</v>
      </c>
      <c r="B87" s="199">
        <v>86</v>
      </c>
      <c r="C87" s="198" t="s">
        <v>3</v>
      </c>
      <c r="D87" s="198" t="s">
        <v>74</v>
      </c>
      <c r="E87">
        <v>2024.4</v>
      </c>
      <c r="F87">
        <v>122</v>
      </c>
      <c r="G87" s="65">
        <v>45444</v>
      </c>
      <c r="H87">
        <v>6788</v>
      </c>
      <c r="I87">
        <v>0</v>
      </c>
      <c r="J87" s="198" t="s">
        <v>0</v>
      </c>
      <c r="K87">
        <v>6593</v>
      </c>
      <c r="L87">
        <v>6983</v>
      </c>
      <c r="M87">
        <v>6677</v>
      </c>
      <c r="N87">
        <v>101.7</v>
      </c>
      <c r="O87" s="198" t="s">
        <v>27</v>
      </c>
      <c r="P87">
        <v>6582</v>
      </c>
      <c r="Q87">
        <v>0</v>
      </c>
      <c r="R87" s="91"/>
    </row>
    <row r="88" spans="1:18" x14ac:dyDescent="0.25">
      <c r="A88" s="90" t="str">
        <f t="shared" si="1"/>
        <v>New South WalesCompletions45536Initial</v>
      </c>
      <c r="B88" s="199">
        <v>87</v>
      </c>
      <c r="C88" s="198" t="s">
        <v>3</v>
      </c>
      <c r="D88" s="198" t="s">
        <v>74</v>
      </c>
      <c r="E88">
        <v>2025.1</v>
      </c>
      <c r="F88">
        <v>122</v>
      </c>
      <c r="G88" s="65">
        <v>45536</v>
      </c>
      <c r="H88">
        <v>6781</v>
      </c>
      <c r="I88">
        <v>0</v>
      </c>
      <c r="J88" s="198" t="s">
        <v>30</v>
      </c>
      <c r="K88">
        <v>6369</v>
      </c>
      <c r="L88">
        <v>7193</v>
      </c>
      <c r="M88">
        <v>6622</v>
      </c>
      <c r="N88">
        <v>102.4</v>
      </c>
      <c r="O88" s="198" t="s">
        <v>27</v>
      </c>
      <c r="P88">
        <v>6312</v>
      </c>
      <c r="Q88">
        <v>0</v>
      </c>
      <c r="R88" s="91"/>
    </row>
    <row r="89" spans="1:18" x14ac:dyDescent="0.25">
      <c r="A89" s="90" t="str">
        <f t="shared" si="1"/>
        <v>New South WalesCompletions455361st revision</v>
      </c>
      <c r="B89" s="199">
        <v>88</v>
      </c>
      <c r="C89" s="198" t="s">
        <v>3</v>
      </c>
      <c r="D89" s="198" t="s">
        <v>74</v>
      </c>
      <c r="E89">
        <v>2025.1</v>
      </c>
      <c r="F89">
        <v>123</v>
      </c>
      <c r="G89" s="65">
        <v>45536</v>
      </c>
      <c r="H89">
        <v>6713</v>
      </c>
      <c r="I89">
        <v>0</v>
      </c>
      <c r="J89" s="198" t="s">
        <v>0</v>
      </c>
      <c r="K89">
        <v>6586</v>
      </c>
      <c r="L89">
        <v>6840</v>
      </c>
      <c r="M89">
        <v>6622</v>
      </c>
      <c r="N89">
        <v>101.4</v>
      </c>
      <c r="O89" s="198" t="s">
        <v>27</v>
      </c>
      <c r="P89">
        <v>6528</v>
      </c>
      <c r="Q89">
        <v>0</v>
      </c>
      <c r="R89" s="91"/>
    </row>
    <row r="90" spans="1:18" x14ac:dyDescent="0.25">
      <c r="A90" s="90" t="str">
        <f t="shared" si="1"/>
        <v>New South WalesIn-training44896Initial</v>
      </c>
      <c r="B90" s="199">
        <v>89</v>
      </c>
      <c r="C90" s="198" t="s">
        <v>3</v>
      </c>
      <c r="D90" s="198" t="s">
        <v>75</v>
      </c>
      <c r="E90">
        <v>2023.2</v>
      </c>
      <c r="F90">
        <v>115</v>
      </c>
      <c r="G90" s="65">
        <v>44896</v>
      </c>
      <c r="H90">
        <v>111771</v>
      </c>
      <c r="I90">
        <v>0</v>
      </c>
      <c r="J90" s="198" t="s">
        <v>30</v>
      </c>
      <c r="K90">
        <v>110229</v>
      </c>
      <c r="L90">
        <v>113313</v>
      </c>
      <c r="M90">
        <v>112174</v>
      </c>
      <c r="N90">
        <v>99.6</v>
      </c>
      <c r="O90" s="198" t="s">
        <v>27</v>
      </c>
      <c r="P90">
        <v>115004</v>
      </c>
      <c r="Q90">
        <v>0</v>
      </c>
      <c r="R90" s="91"/>
    </row>
    <row r="91" spans="1:18" x14ac:dyDescent="0.25">
      <c r="A91" s="90" t="str">
        <f t="shared" si="1"/>
        <v>New South WalesIn-training448961st revision</v>
      </c>
      <c r="B91" s="199">
        <v>90</v>
      </c>
      <c r="C91" s="198" t="s">
        <v>3</v>
      </c>
      <c r="D91" s="198" t="s">
        <v>75</v>
      </c>
      <c r="E91">
        <v>2023.2</v>
      </c>
      <c r="F91">
        <v>116</v>
      </c>
      <c r="G91" s="65">
        <v>44896</v>
      </c>
      <c r="H91">
        <v>113345</v>
      </c>
      <c r="I91">
        <v>0</v>
      </c>
      <c r="J91" s="198" t="s">
        <v>0</v>
      </c>
      <c r="K91">
        <v>112407</v>
      </c>
      <c r="L91">
        <v>114283</v>
      </c>
      <c r="M91">
        <v>112174</v>
      </c>
      <c r="N91">
        <v>101</v>
      </c>
      <c r="O91" s="198" t="s">
        <v>27</v>
      </c>
      <c r="P91">
        <v>115320</v>
      </c>
      <c r="Q91">
        <v>0</v>
      </c>
      <c r="R91" s="91"/>
    </row>
    <row r="92" spans="1:18" x14ac:dyDescent="0.25">
      <c r="A92" s="90" t="str">
        <f t="shared" si="1"/>
        <v>New South WalesIn-training44986Initial</v>
      </c>
      <c r="B92" s="199">
        <v>91</v>
      </c>
      <c r="C92" s="198" t="s">
        <v>3</v>
      </c>
      <c r="D92" s="198" t="s">
        <v>75</v>
      </c>
      <c r="E92">
        <v>2023.3</v>
      </c>
      <c r="F92">
        <v>116</v>
      </c>
      <c r="G92" s="65">
        <v>44986</v>
      </c>
      <c r="H92">
        <v>115468</v>
      </c>
      <c r="I92">
        <v>0</v>
      </c>
      <c r="J92" s="198" t="s">
        <v>30</v>
      </c>
      <c r="K92">
        <v>111470</v>
      </c>
      <c r="L92">
        <v>119466</v>
      </c>
      <c r="M92">
        <v>114868</v>
      </c>
      <c r="N92">
        <v>100.5</v>
      </c>
      <c r="O92" s="198" t="s">
        <v>27</v>
      </c>
      <c r="P92">
        <v>116937</v>
      </c>
      <c r="Q92">
        <v>0</v>
      </c>
      <c r="R92" s="91"/>
    </row>
    <row r="93" spans="1:18" x14ac:dyDescent="0.25">
      <c r="A93" s="90" t="str">
        <f t="shared" si="1"/>
        <v>New South WalesIn-training449861st revision</v>
      </c>
      <c r="B93" s="199">
        <v>92</v>
      </c>
      <c r="C93" s="198" t="s">
        <v>3</v>
      </c>
      <c r="D93" s="198" t="s">
        <v>75</v>
      </c>
      <c r="E93">
        <v>2023.3</v>
      </c>
      <c r="F93">
        <v>117</v>
      </c>
      <c r="G93" s="65">
        <v>44986</v>
      </c>
      <c r="H93">
        <v>116782</v>
      </c>
      <c r="I93">
        <v>0</v>
      </c>
      <c r="J93" s="198" t="s">
        <v>0</v>
      </c>
      <c r="K93">
        <v>115262</v>
      </c>
      <c r="L93">
        <v>118302</v>
      </c>
      <c r="M93">
        <v>114868</v>
      </c>
      <c r="N93">
        <v>101.7</v>
      </c>
      <c r="O93" s="198" t="s">
        <v>27</v>
      </c>
      <c r="P93">
        <v>117979</v>
      </c>
      <c r="Q93">
        <v>0</v>
      </c>
      <c r="R93" s="91"/>
    </row>
    <row r="94" spans="1:18" x14ac:dyDescent="0.25">
      <c r="A94" s="90" t="str">
        <f t="shared" si="1"/>
        <v>New South WalesIn-training45078Initial</v>
      </c>
      <c r="B94" s="199">
        <v>93</v>
      </c>
      <c r="C94" s="198" t="s">
        <v>3</v>
      </c>
      <c r="D94" s="198" t="s">
        <v>75</v>
      </c>
      <c r="E94">
        <v>2023.4</v>
      </c>
      <c r="F94">
        <v>117</v>
      </c>
      <c r="G94" s="65">
        <v>45078</v>
      </c>
      <c r="H94">
        <v>113067</v>
      </c>
      <c r="I94">
        <v>113328</v>
      </c>
      <c r="J94" s="198" t="s">
        <v>30</v>
      </c>
      <c r="K94">
        <v>109171</v>
      </c>
      <c r="L94">
        <v>116963</v>
      </c>
      <c r="M94">
        <v>111203</v>
      </c>
      <c r="N94">
        <v>101.7</v>
      </c>
      <c r="O94" s="198" t="s">
        <v>27</v>
      </c>
      <c r="P94">
        <v>114876</v>
      </c>
      <c r="Q94">
        <v>101.9</v>
      </c>
      <c r="R94" s="91"/>
    </row>
    <row r="95" spans="1:18" x14ac:dyDescent="0.25">
      <c r="A95" s="90" t="str">
        <f t="shared" si="1"/>
        <v>New South WalesIn-training450781st revision</v>
      </c>
      <c r="B95" s="199">
        <v>94</v>
      </c>
      <c r="C95" s="198" t="s">
        <v>3</v>
      </c>
      <c r="D95" s="198" t="s">
        <v>75</v>
      </c>
      <c r="E95">
        <v>2023.4</v>
      </c>
      <c r="F95">
        <v>118</v>
      </c>
      <c r="G95" s="65">
        <v>45078</v>
      </c>
      <c r="H95">
        <v>113433</v>
      </c>
      <c r="I95">
        <v>0</v>
      </c>
      <c r="J95" s="198" t="s">
        <v>0</v>
      </c>
      <c r="K95">
        <v>112314</v>
      </c>
      <c r="L95">
        <v>114552</v>
      </c>
      <c r="M95">
        <v>111203</v>
      </c>
      <c r="N95">
        <v>102</v>
      </c>
      <c r="O95" s="198" t="s">
        <v>27</v>
      </c>
      <c r="P95">
        <v>114440</v>
      </c>
      <c r="Q95">
        <v>0</v>
      </c>
      <c r="R95" s="91"/>
    </row>
    <row r="96" spans="1:18" x14ac:dyDescent="0.25">
      <c r="A96" s="90" t="str">
        <f t="shared" si="1"/>
        <v>New South WalesIn-training45170Initial</v>
      </c>
      <c r="B96" s="199">
        <v>95</v>
      </c>
      <c r="C96" s="198" t="s">
        <v>3</v>
      </c>
      <c r="D96" s="198" t="s">
        <v>75</v>
      </c>
      <c r="E96">
        <v>2024.1</v>
      </c>
      <c r="F96">
        <v>118</v>
      </c>
      <c r="G96" s="65">
        <v>45170</v>
      </c>
      <c r="H96">
        <v>108475</v>
      </c>
      <c r="I96">
        <v>108816</v>
      </c>
      <c r="J96" s="198" t="s">
        <v>30</v>
      </c>
      <c r="K96">
        <v>105124</v>
      </c>
      <c r="L96">
        <v>111826</v>
      </c>
      <c r="M96">
        <v>106559</v>
      </c>
      <c r="N96">
        <v>101.8</v>
      </c>
      <c r="O96" s="198" t="s">
        <v>27</v>
      </c>
      <c r="P96">
        <v>110477</v>
      </c>
      <c r="Q96">
        <v>102.1</v>
      </c>
      <c r="R96" s="91"/>
    </row>
    <row r="97" spans="1:18" x14ac:dyDescent="0.25">
      <c r="A97" s="90" t="str">
        <f t="shared" si="1"/>
        <v>New South WalesIn-training451701st revision</v>
      </c>
      <c r="B97" s="199">
        <v>96</v>
      </c>
      <c r="C97" s="198" t="s">
        <v>3</v>
      </c>
      <c r="D97" s="198" t="s">
        <v>75</v>
      </c>
      <c r="E97">
        <v>2024.1</v>
      </c>
      <c r="F97">
        <v>119</v>
      </c>
      <c r="G97" s="65">
        <v>45170</v>
      </c>
      <c r="H97">
        <v>108539</v>
      </c>
      <c r="I97">
        <v>0</v>
      </c>
      <c r="J97" s="198" t="s">
        <v>0</v>
      </c>
      <c r="K97">
        <v>107549</v>
      </c>
      <c r="L97">
        <v>109529</v>
      </c>
      <c r="M97">
        <v>106559</v>
      </c>
      <c r="N97">
        <v>101.9</v>
      </c>
      <c r="O97" s="198" t="s">
        <v>27</v>
      </c>
      <c r="P97">
        <v>109489</v>
      </c>
      <c r="Q97">
        <v>0</v>
      </c>
      <c r="R97" s="91"/>
    </row>
    <row r="98" spans="1:18" x14ac:dyDescent="0.25">
      <c r="A98" s="90" t="str">
        <f t="shared" si="1"/>
        <v>Northern TerritoryCancellations/withdrawals44896Initial</v>
      </c>
      <c r="B98" s="199">
        <v>97</v>
      </c>
      <c r="C98" s="198" t="s">
        <v>4</v>
      </c>
      <c r="D98" s="198" t="s">
        <v>72</v>
      </c>
      <c r="E98">
        <v>2023.2</v>
      </c>
      <c r="F98">
        <v>115</v>
      </c>
      <c r="G98" s="65">
        <v>44896</v>
      </c>
      <c r="H98">
        <v>368</v>
      </c>
      <c r="I98">
        <v>0</v>
      </c>
      <c r="J98" s="198" t="s">
        <v>30</v>
      </c>
      <c r="K98">
        <v>263</v>
      </c>
      <c r="L98">
        <v>473</v>
      </c>
      <c r="M98">
        <v>318</v>
      </c>
      <c r="N98">
        <v>115.7</v>
      </c>
      <c r="O98" s="198" t="s">
        <v>27</v>
      </c>
      <c r="P98">
        <v>280</v>
      </c>
      <c r="Q98">
        <v>0</v>
      </c>
      <c r="R98" s="91"/>
    </row>
    <row r="99" spans="1:18" x14ac:dyDescent="0.25">
      <c r="A99" s="90" t="str">
        <f t="shared" si="1"/>
        <v>Northern TerritoryCancellations/withdrawals448961st revision</v>
      </c>
      <c r="B99" s="199">
        <v>98</v>
      </c>
      <c r="C99" s="198" t="s">
        <v>4</v>
      </c>
      <c r="D99" s="198" t="s">
        <v>72</v>
      </c>
      <c r="E99">
        <v>2023.2</v>
      </c>
      <c r="F99">
        <v>116</v>
      </c>
      <c r="G99" s="65">
        <v>44896</v>
      </c>
      <c r="H99">
        <v>331</v>
      </c>
      <c r="I99">
        <v>0</v>
      </c>
      <c r="J99" s="198" t="s">
        <v>0</v>
      </c>
      <c r="K99">
        <v>293</v>
      </c>
      <c r="L99">
        <v>369</v>
      </c>
      <c r="M99">
        <v>318</v>
      </c>
      <c r="N99">
        <v>104.1</v>
      </c>
      <c r="O99" s="198" t="s">
        <v>27</v>
      </c>
      <c r="P99">
        <v>293</v>
      </c>
      <c r="Q99">
        <v>0</v>
      </c>
      <c r="R99" s="91"/>
    </row>
    <row r="100" spans="1:18" x14ac:dyDescent="0.25">
      <c r="A100" s="90" t="str">
        <f t="shared" si="1"/>
        <v>Northern TerritoryCancellations/withdrawals44986Initial</v>
      </c>
      <c r="B100" s="199">
        <v>99</v>
      </c>
      <c r="C100" s="198" t="s">
        <v>4</v>
      </c>
      <c r="D100" s="198" t="s">
        <v>72</v>
      </c>
      <c r="E100">
        <v>2023.3</v>
      </c>
      <c r="F100">
        <v>116</v>
      </c>
      <c r="G100" s="65">
        <v>44986</v>
      </c>
      <c r="H100">
        <v>330.93270819999998</v>
      </c>
      <c r="I100">
        <v>342</v>
      </c>
      <c r="J100" s="198" t="s">
        <v>30</v>
      </c>
      <c r="K100">
        <v>242</v>
      </c>
      <c r="L100">
        <v>420</v>
      </c>
      <c r="M100">
        <v>320</v>
      </c>
      <c r="N100">
        <v>103.4</v>
      </c>
      <c r="O100" s="198" t="s">
        <v>27</v>
      </c>
      <c r="P100">
        <v>256</v>
      </c>
      <c r="Q100">
        <v>106.9</v>
      </c>
      <c r="R100" s="91"/>
    </row>
    <row r="101" spans="1:18" x14ac:dyDescent="0.25">
      <c r="A101" s="90" t="str">
        <f t="shared" si="1"/>
        <v>Northern TerritoryCancellations/withdrawals449861st revision</v>
      </c>
      <c r="B101" s="199">
        <v>100</v>
      </c>
      <c r="C101" s="198" t="s">
        <v>4</v>
      </c>
      <c r="D101" s="198" t="s">
        <v>72</v>
      </c>
      <c r="E101">
        <v>2023.3</v>
      </c>
      <c r="F101">
        <v>117</v>
      </c>
      <c r="G101" s="65">
        <v>44986</v>
      </c>
      <c r="H101">
        <v>325</v>
      </c>
      <c r="I101">
        <v>0</v>
      </c>
      <c r="J101" s="198" t="s">
        <v>0</v>
      </c>
      <c r="K101">
        <v>289</v>
      </c>
      <c r="L101">
        <v>361</v>
      </c>
      <c r="M101">
        <v>320</v>
      </c>
      <c r="N101">
        <v>101.6</v>
      </c>
      <c r="O101" s="198" t="s">
        <v>27</v>
      </c>
      <c r="P101">
        <v>287</v>
      </c>
      <c r="Q101">
        <v>0</v>
      </c>
      <c r="R101" s="91"/>
    </row>
    <row r="102" spans="1:18" x14ac:dyDescent="0.25">
      <c r="A102" s="90" t="str">
        <f t="shared" si="1"/>
        <v>Northern TerritoryCancellations/withdrawals45078Initial</v>
      </c>
      <c r="B102" s="199">
        <v>101</v>
      </c>
      <c r="C102" s="198" t="s">
        <v>4</v>
      </c>
      <c r="D102" s="198" t="s">
        <v>72</v>
      </c>
      <c r="E102">
        <v>2023.4</v>
      </c>
      <c r="F102">
        <v>117</v>
      </c>
      <c r="G102" s="65">
        <v>45078</v>
      </c>
      <c r="H102">
        <v>291</v>
      </c>
      <c r="I102">
        <v>0</v>
      </c>
      <c r="J102" s="198" t="s">
        <v>30</v>
      </c>
      <c r="K102">
        <v>227</v>
      </c>
      <c r="L102">
        <v>355</v>
      </c>
      <c r="M102">
        <v>269</v>
      </c>
      <c r="N102">
        <v>108.2</v>
      </c>
      <c r="O102" s="198" t="s">
        <v>27</v>
      </c>
      <c r="P102">
        <v>214</v>
      </c>
      <c r="Q102">
        <v>0</v>
      </c>
      <c r="R102" s="91"/>
    </row>
    <row r="103" spans="1:18" x14ac:dyDescent="0.25">
      <c r="A103" s="90" t="str">
        <f t="shared" si="1"/>
        <v>Northern TerritoryCancellations/withdrawals450781st revision</v>
      </c>
      <c r="B103" s="199">
        <v>102</v>
      </c>
      <c r="C103" s="198" t="s">
        <v>4</v>
      </c>
      <c r="D103" s="198" t="s">
        <v>72</v>
      </c>
      <c r="E103">
        <v>2023.4</v>
      </c>
      <c r="F103">
        <v>118</v>
      </c>
      <c r="G103" s="65">
        <v>45078</v>
      </c>
      <c r="H103">
        <v>280</v>
      </c>
      <c r="I103">
        <v>0</v>
      </c>
      <c r="J103" s="198" t="s">
        <v>0</v>
      </c>
      <c r="K103">
        <v>248</v>
      </c>
      <c r="L103">
        <v>312</v>
      </c>
      <c r="M103">
        <v>269</v>
      </c>
      <c r="N103">
        <v>104.1</v>
      </c>
      <c r="O103" s="198" t="s">
        <v>27</v>
      </c>
      <c r="P103">
        <v>248</v>
      </c>
      <c r="Q103">
        <v>0</v>
      </c>
      <c r="R103" s="91"/>
    </row>
    <row r="104" spans="1:18" x14ac:dyDescent="0.25">
      <c r="A104" s="90" t="str">
        <f t="shared" si="1"/>
        <v>Northern TerritoryCancellations/withdrawals45170Initial</v>
      </c>
      <c r="B104" s="199">
        <v>103</v>
      </c>
      <c r="C104" s="198" t="s">
        <v>4</v>
      </c>
      <c r="D104" s="198" t="s">
        <v>72</v>
      </c>
      <c r="E104">
        <v>2024.1</v>
      </c>
      <c r="F104">
        <v>118</v>
      </c>
      <c r="G104" s="65">
        <v>45170</v>
      </c>
      <c r="H104">
        <v>376</v>
      </c>
      <c r="I104">
        <v>0</v>
      </c>
      <c r="J104" s="198" t="s">
        <v>30</v>
      </c>
      <c r="K104">
        <v>293</v>
      </c>
      <c r="L104">
        <v>459</v>
      </c>
      <c r="M104">
        <v>338</v>
      </c>
      <c r="N104">
        <v>111.2</v>
      </c>
      <c r="O104" s="198" t="s">
        <v>27</v>
      </c>
      <c r="P104">
        <v>277</v>
      </c>
      <c r="Q104">
        <v>0</v>
      </c>
      <c r="R104" s="91"/>
    </row>
    <row r="105" spans="1:18" x14ac:dyDescent="0.25">
      <c r="A105" s="90" t="str">
        <f t="shared" si="1"/>
        <v>Northern TerritoryCancellations/withdrawals451701st revision</v>
      </c>
      <c r="B105" s="199">
        <v>104</v>
      </c>
      <c r="C105" s="198" t="s">
        <v>4</v>
      </c>
      <c r="D105" s="198" t="s">
        <v>72</v>
      </c>
      <c r="E105">
        <v>2024.1</v>
      </c>
      <c r="F105">
        <v>119</v>
      </c>
      <c r="G105" s="65">
        <v>45170</v>
      </c>
      <c r="H105">
        <v>342</v>
      </c>
      <c r="I105">
        <v>0</v>
      </c>
      <c r="J105" s="198" t="s">
        <v>0</v>
      </c>
      <c r="K105">
        <v>304</v>
      </c>
      <c r="L105">
        <v>380</v>
      </c>
      <c r="M105">
        <v>338</v>
      </c>
      <c r="N105">
        <v>101.2</v>
      </c>
      <c r="O105" s="198" t="s">
        <v>27</v>
      </c>
      <c r="P105">
        <v>305</v>
      </c>
      <c r="Q105">
        <v>0</v>
      </c>
      <c r="R105" s="91"/>
    </row>
    <row r="106" spans="1:18" x14ac:dyDescent="0.25">
      <c r="A106" s="90" t="str">
        <f t="shared" si="1"/>
        <v>Northern TerritoryCommencements45261Initial</v>
      </c>
      <c r="B106" s="199">
        <v>105</v>
      </c>
      <c r="C106" s="198" t="s">
        <v>4</v>
      </c>
      <c r="D106" s="198" t="s">
        <v>73</v>
      </c>
      <c r="E106">
        <v>2024.2</v>
      </c>
      <c r="F106">
        <v>119</v>
      </c>
      <c r="G106" s="65">
        <v>45261</v>
      </c>
      <c r="H106">
        <v>296</v>
      </c>
      <c r="I106">
        <v>0</v>
      </c>
      <c r="J106" s="198" t="s">
        <v>30</v>
      </c>
      <c r="K106">
        <v>283</v>
      </c>
      <c r="L106">
        <v>309</v>
      </c>
      <c r="M106">
        <v>302</v>
      </c>
      <c r="N106">
        <v>98</v>
      </c>
      <c r="O106" s="198" t="s">
        <v>27</v>
      </c>
      <c r="P106">
        <v>290</v>
      </c>
      <c r="Q106">
        <v>0</v>
      </c>
      <c r="R106" s="91"/>
    </row>
    <row r="107" spans="1:18" x14ac:dyDescent="0.25">
      <c r="A107" s="90" t="str">
        <f t="shared" si="1"/>
        <v>Northern TerritoryCommencements452611st revision</v>
      </c>
      <c r="B107" s="199">
        <v>106</v>
      </c>
      <c r="C107" s="198" t="s">
        <v>4</v>
      </c>
      <c r="D107" s="198" t="s">
        <v>73</v>
      </c>
      <c r="E107">
        <v>2024.2</v>
      </c>
      <c r="F107">
        <v>120</v>
      </c>
      <c r="G107" s="65">
        <v>45261</v>
      </c>
      <c r="H107">
        <v>295</v>
      </c>
      <c r="I107">
        <v>0</v>
      </c>
      <c r="J107" s="198" t="s">
        <v>0</v>
      </c>
      <c r="K107">
        <v>293</v>
      </c>
      <c r="L107">
        <v>297</v>
      </c>
      <c r="M107">
        <v>302</v>
      </c>
      <c r="N107">
        <v>97.7</v>
      </c>
      <c r="O107" s="198" t="s">
        <v>27</v>
      </c>
      <c r="P107">
        <v>294</v>
      </c>
      <c r="Q107">
        <v>0</v>
      </c>
      <c r="R107" s="91"/>
    </row>
    <row r="108" spans="1:18" x14ac:dyDescent="0.25">
      <c r="A108" s="90" t="str">
        <f t="shared" si="1"/>
        <v>Northern TerritoryCommencements45352Initial</v>
      </c>
      <c r="B108" s="199">
        <v>107</v>
      </c>
      <c r="C108" s="198" t="s">
        <v>4</v>
      </c>
      <c r="D108" s="198" t="s">
        <v>73</v>
      </c>
      <c r="E108">
        <v>2024.3</v>
      </c>
      <c r="F108">
        <v>120</v>
      </c>
      <c r="G108" s="65">
        <v>45352</v>
      </c>
      <c r="H108">
        <v>728</v>
      </c>
      <c r="I108">
        <v>0</v>
      </c>
      <c r="J108" s="198" t="s">
        <v>30</v>
      </c>
      <c r="K108">
        <v>645</v>
      </c>
      <c r="L108">
        <v>811</v>
      </c>
      <c r="M108">
        <v>798</v>
      </c>
      <c r="N108">
        <v>91.2</v>
      </c>
      <c r="O108" s="198" t="s">
        <v>27</v>
      </c>
      <c r="P108">
        <v>704</v>
      </c>
      <c r="Q108">
        <v>0</v>
      </c>
      <c r="R108" s="91"/>
    </row>
    <row r="109" spans="1:18" x14ac:dyDescent="0.25">
      <c r="A109" s="90" t="str">
        <f t="shared" si="1"/>
        <v>Northern TerritoryCommencements453521st revision</v>
      </c>
      <c r="B109" s="199">
        <v>108</v>
      </c>
      <c r="C109" s="198" t="s">
        <v>4</v>
      </c>
      <c r="D109" s="198" t="s">
        <v>73</v>
      </c>
      <c r="E109">
        <v>2024.3</v>
      </c>
      <c r="F109">
        <v>121</v>
      </c>
      <c r="G109" s="65">
        <v>45352</v>
      </c>
      <c r="H109">
        <v>761</v>
      </c>
      <c r="I109">
        <v>0</v>
      </c>
      <c r="J109" s="198" t="s">
        <v>0</v>
      </c>
      <c r="K109">
        <v>755</v>
      </c>
      <c r="L109">
        <v>767</v>
      </c>
      <c r="M109">
        <v>798</v>
      </c>
      <c r="N109">
        <v>95.4</v>
      </c>
      <c r="O109" s="198" t="s">
        <v>27</v>
      </c>
      <c r="P109">
        <v>758</v>
      </c>
      <c r="Q109">
        <v>0</v>
      </c>
      <c r="R109" s="91"/>
    </row>
    <row r="110" spans="1:18" x14ac:dyDescent="0.25">
      <c r="A110" s="90" t="str">
        <f t="shared" si="1"/>
        <v>Northern TerritoryCommencements45444Initial</v>
      </c>
      <c r="B110" s="199">
        <v>109</v>
      </c>
      <c r="C110" s="198" t="s">
        <v>4</v>
      </c>
      <c r="D110" s="198" t="s">
        <v>73</v>
      </c>
      <c r="E110">
        <v>2024.4</v>
      </c>
      <c r="F110">
        <v>121</v>
      </c>
      <c r="G110" s="65">
        <v>45444</v>
      </c>
      <c r="H110">
        <v>562</v>
      </c>
      <c r="I110">
        <v>0</v>
      </c>
      <c r="J110" s="198" t="s">
        <v>30</v>
      </c>
      <c r="K110">
        <v>499</v>
      </c>
      <c r="L110">
        <v>625</v>
      </c>
      <c r="M110">
        <v>611</v>
      </c>
      <c r="N110">
        <v>92</v>
      </c>
      <c r="O110" s="198" t="s">
        <v>27</v>
      </c>
      <c r="P110">
        <v>543</v>
      </c>
      <c r="Q110">
        <v>0</v>
      </c>
      <c r="R110" s="91"/>
    </row>
    <row r="111" spans="1:18" x14ac:dyDescent="0.25">
      <c r="A111" s="90" t="str">
        <f t="shared" si="1"/>
        <v>Northern TerritoryCommencements454441st revision</v>
      </c>
      <c r="B111" s="199">
        <v>110</v>
      </c>
      <c r="C111" s="198" t="s">
        <v>4</v>
      </c>
      <c r="D111" s="198" t="s">
        <v>73</v>
      </c>
      <c r="E111">
        <v>2024.4</v>
      </c>
      <c r="F111">
        <v>122</v>
      </c>
      <c r="G111" s="65">
        <v>45444</v>
      </c>
      <c r="H111">
        <v>614</v>
      </c>
      <c r="I111">
        <v>0</v>
      </c>
      <c r="J111" s="198" t="s">
        <v>0</v>
      </c>
      <c r="K111">
        <v>610</v>
      </c>
      <c r="L111">
        <v>618</v>
      </c>
      <c r="M111">
        <v>611</v>
      </c>
      <c r="N111">
        <v>100.5</v>
      </c>
      <c r="O111" s="198" t="s">
        <v>27</v>
      </c>
      <c r="P111">
        <v>611</v>
      </c>
      <c r="Q111">
        <v>0</v>
      </c>
      <c r="R111" s="91"/>
    </row>
    <row r="112" spans="1:18" x14ac:dyDescent="0.25">
      <c r="A112" s="90" t="str">
        <f t="shared" si="1"/>
        <v>Northern TerritoryCommencements45536Initial</v>
      </c>
      <c r="B112" s="199">
        <v>111</v>
      </c>
      <c r="C112" s="198" t="s">
        <v>4</v>
      </c>
      <c r="D112" s="198" t="s">
        <v>73</v>
      </c>
      <c r="E112">
        <v>2025.1</v>
      </c>
      <c r="F112">
        <v>122</v>
      </c>
      <c r="G112" s="65">
        <v>45536</v>
      </c>
      <c r="H112">
        <v>451</v>
      </c>
      <c r="I112">
        <v>0</v>
      </c>
      <c r="J112" s="198" t="s">
        <v>30</v>
      </c>
      <c r="K112">
        <v>402</v>
      </c>
      <c r="L112">
        <v>500</v>
      </c>
      <c r="M112">
        <v>438</v>
      </c>
      <c r="N112">
        <v>103</v>
      </c>
      <c r="O112" s="198" t="s">
        <v>27</v>
      </c>
      <c r="P112">
        <v>435</v>
      </c>
      <c r="Q112">
        <v>0</v>
      </c>
      <c r="R112" s="91"/>
    </row>
    <row r="113" spans="1:18" x14ac:dyDescent="0.25">
      <c r="A113" s="90" t="str">
        <f t="shared" si="1"/>
        <v>Northern TerritoryCommencements455361st revision</v>
      </c>
      <c r="B113" s="199">
        <v>112</v>
      </c>
      <c r="C113" s="198" t="s">
        <v>4</v>
      </c>
      <c r="D113" s="198" t="s">
        <v>73</v>
      </c>
      <c r="E113">
        <v>2025.1</v>
      </c>
      <c r="F113">
        <v>123</v>
      </c>
      <c r="G113" s="65">
        <v>45536</v>
      </c>
      <c r="H113">
        <v>440</v>
      </c>
      <c r="I113">
        <v>0</v>
      </c>
      <c r="J113" s="198" t="s">
        <v>0</v>
      </c>
      <c r="K113">
        <v>431</v>
      </c>
      <c r="L113">
        <v>449</v>
      </c>
      <c r="M113">
        <v>438</v>
      </c>
      <c r="N113">
        <v>100.5</v>
      </c>
      <c r="O113" s="198" t="s">
        <v>27</v>
      </c>
      <c r="P113">
        <v>437</v>
      </c>
      <c r="Q113">
        <v>0</v>
      </c>
      <c r="R113" s="91"/>
    </row>
    <row r="114" spans="1:18" x14ac:dyDescent="0.25">
      <c r="A114" s="90" t="str">
        <f t="shared" si="1"/>
        <v>Northern TerritoryCompletions45261Initial</v>
      </c>
      <c r="B114" s="199">
        <v>113</v>
      </c>
      <c r="C114" s="198" t="s">
        <v>4</v>
      </c>
      <c r="D114" s="198" t="s">
        <v>74</v>
      </c>
      <c r="E114">
        <v>2024.2</v>
      </c>
      <c r="F114">
        <v>119</v>
      </c>
      <c r="G114" s="65">
        <v>45261</v>
      </c>
      <c r="H114">
        <v>412</v>
      </c>
      <c r="I114">
        <v>0</v>
      </c>
      <c r="J114" s="198" t="s">
        <v>30</v>
      </c>
      <c r="K114">
        <v>369</v>
      </c>
      <c r="L114">
        <v>455</v>
      </c>
      <c r="M114">
        <v>405</v>
      </c>
      <c r="N114">
        <v>101.7</v>
      </c>
      <c r="O114" s="198" t="s">
        <v>27</v>
      </c>
      <c r="P114">
        <v>386</v>
      </c>
      <c r="Q114">
        <v>0</v>
      </c>
      <c r="R114" s="91"/>
    </row>
    <row r="115" spans="1:18" x14ac:dyDescent="0.25">
      <c r="A115" s="90" t="str">
        <f t="shared" si="1"/>
        <v>Northern TerritoryCompletions452611st revision</v>
      </c>
      <c r="B115" s="199">
        <v>114</v>
      </c>
      <c r="C115" s="198" t="s">
        <v>4</v>
      </c>
      <c r="D115" s="198" t="s">
        <v>74</v>
      </c>
      <c r="E115">
        <v>2024.2</v>
      </c>
      <c r="F115">
        <v>120</v>
      </c>
      <c r="G115" s="65">
        <v>45261</v>
      </c>
      <c r="H115">
        <v>416</v>
      </c>
      <c r="I115">
        <v>0</v>
      </c>
      <c r="J115" s="198" t="s">
        <v>0</v>
      </c>
      <c r="K115">
        <v>393</v>
      </c>
      <c r="L115">
        <v>439</v>
      </c>
      <c r="M115">
        <v>405</v>
      </c>
      <c r="N115">
        <v>102.7</v>
      </c>
      <c r="O115" s="198" t="s">
        <v>27</v>
      </c>
      <c r="P115">
        <v>404</v>
      </c>
      <c r="Q115">
        <v>0</v>
      </c>
      <c r="R115" s="91"/>
    </row>
    <row r="116" spans="1:18" x14ac:dyDescent="0.25">
      <c r="A116" s="90" t="str">
        <f t="shared" si="1"/>
        <v>Northern TerritoryCompletions45352Initial</v>
      </c>
      <c r="B116" s="199">
        <v>115</v>
      </c>
      <c r="C116" s="198" t="s">
        <v>4</v>
      </c>
      <c r="D116" s="198" t="s">
        <v>74</v>
      </c>
      <c r="E116">
        <v>2024.3</v>
      </c>
      <c r="F116">
        <v>120</v>
      </c>
      <c r="G116" s="65">
        <v>45352</v>
      </c>
      <c r="H116">
        <v>203</v>
      </c>
      <c r="I116">
        <v>0</v>
      </c>
      <c r="J116" s="198" t="s">
        <v>30</v>
      </c>
      <c r="K116">
        <v>184</v>
      </c>
      <c r="L116">
        <v>222</v>
      </c>
      <c r="M116">
        <v>198</v>
      </c>
      <c r="N116">
        <v>102.5</v>
      </c>
      <c r="O116" s="198" t="s">
        <v>27</v>
      </c>
      <c r="P116">
        <v>192</v>
      </c>
      <c r="Q116">
        <v>0</v>
      </c>
      <c r="R116" s="91"/>
    </row>
    <row r="117" spans="1:18" x14ac:dyDescent="0.25">
      <c r="A117" s="90" t="str">
        <f t="shared" si="1"/>
        <v>Northern TerritoryCompletions453521st revision</v>
      </c>
      <c r="B117" s="199">
        <v>116</v>
      </c>
      <c r="C117" s="198" t="s">
        <v>4</v>
      </c>
      <c r="D117" s="198" t="s">
        <v>74</v>
      </c>
      <c r="E117">
        <v>2024.3</v>
      </c>
      <c r="F117">
        <v>121</v>
      </c>
      <c r="G117" s="65">
        <v>45352</v>
      </c>
      <c r="H117">
        <v>201</v>
      </c>
      <c r="I117">
        <v>0</v>
      </c>
      <c r="J117" s="198" t="s">
        <v>0</v>
      </c>
      <c r="K117">
        <v>186</v>
      </c>
      <c r="L117">
        <v>216</v>
      </c>
      <c r="M117">
        <v>198</v>
      </c>
      <c r="N117">
        <v>101.5</v>
      </c>
      <c r="O117" s="198" t="s">
        <v>27</v>
      </c>
      <c r="P117">
        <v>195</v>
      </c>
      <c r="Q117">
        <v>0</v>
      </c>
      <c r="R117" s="91"/>
    </row>
    <row r="118" spans="1:18" x14ac:dyDescent="0.25">
      <c r="A118" s="90" t="str">
        <f t="shared" si="1"/>
        <v>Northern TerritoryCompletions45444Initial</v>
      </c>
      <c r="B118" s="199">
        <v>117</v>
      </c>
      <c r="C118" s="198" t="s">
        <v>4</v>
      </c>
      <c r="D118" s="198" t="s">
        <v>74</v>
      </c>
      <c r="E118">
        <v>2024.4</v>
      </c>
      <c r="F118">
        <v>121</v>
      </c>
      <c r="G118" s="65">
        <v>45444</v>
      </c>
      <c r="H118">
        <v>218</v>
      </c>
      <c r="I118">
        <v>0</v>
      </c>
      <c r="J118" s="198" t="s">
        <v>30</v>
      </c>
      <c r="K118">
        <v>193</v>
      </c>
      <c r="L118">
        <v>243</v>
      </c>
      <c r="M118">
        <v>213</v>
      </c>
      <c r="N118">
        <v>102.3</v>
      </c>
      <c r="O118" s="198" t="s">
        <v>27</v>
      </c>
      <c r="P118">
        <v>205</v>
      </c>
      <c r="Q118">
        <v>0</v>
      </c>
      <c r="R118" s="91"/>
    </row>
    <row r="119" spans="1:18" x14ac:dyDescent="0.25">
      <c r="A119" s="90" t="str">
        <f t="shared" si="1"/>
        <v>Northern TerritoryCompletions454441st revision</v>
      </c>
      <c r="B119" s="199">
        <v>118</v>
      </c>
      <c r="C119" s="198" t="s">
        <v>4</v>
      </c>
      <c r="D119" s="198" t="s">
        <v>74</v>
      </c>
      <c r="E119">
        <v>2024.4</v>
      </c>
      <c r="F119">
        <v>122</v>
      </c>
      <c r="G119" s="65">
        <v>45444</v>
      </c>
      <c r="H119">
        <v>215</v>
      </c>
      <c r="I119">
        <v>0</v>
      </c>
      <c r="J119" s="198" t="s">
        <v>0</v>
      </c>
      <c r="K119">
        <v>198</v>
      </c>
      <c r="L119">
        <v>232</v>
      </c>
      <c r="M119">
        <v>213</v>
      </c>
      <c r="N119">
        <v>100.9</v>
      </c>
      <c r="O119" s="198" t="s">
        <v>27</v>
      </c>
      <c r="P119">
        <v>208</v>
      </c>
      <c r="Q119">
        <v>0</v>
      </c>
      <c r="R119" s="91"/>
    </row>
    <row r="120" spans="1:18" x14ac:dyDescent="0.25">
      <c r="A120" s="90" t="str">
        <f t="shared" si="1"/>
        <v>Northern TerritoryCompletions45536Initial</v>
      </c>
      <c r="B120" s="199">
        <v>119</v>
      </c>
      <c r="C120" s="198" t="s">
        <v>4</v>
      </c>
      <c r="D120" s="198" t="s">
        <v>74</v>
      </c>
      <c r="E120">
        <v>2025.1</v>
      </c>
      <c r="F120">
        <v>122</v>
      </c>
      <c r="G120" s="65">
        <v>45536</v>
      </c>
      <c r="H120">
        <v>216</v>
      </c>
      <c r="I120">
        <v>0</v>
      </c>
      <c r="J120" s="198" t="s">
        <v>30</v>
      </c>
      <c r="K120">
        <v>191</v>
      </c>
      <c r="L120">
        <v>241</v>
      </c>
      <c r="M120">
        <v>211</v>
      </c>
      <c r="N120">
        <v>102.4</v>
      </c>
      <c r="O120" s="198" t="s">
        <v>27</v>
      </c>
      <c r="P120">
        <v>202</v>
      </c>
      <c r="Q120">
        <v>0</v>
      </c>
      <c r="R120" s="91"/>
    </row>
    <row r="121" spans="1:18" x14ac:dyDescent="0.25">
      <c r="A121" s="90" t="str">
        <f t="shared" si="1"/>
        <v>Northern TerritoryCompletions455361st revision</v>
      </c>
      <c r="B121" s="199">
        <v>120</v>
      </c>
      <c r="C121" s="198" t="s">
        <v>4</v>
      </c>
      <c r="D121" s="198" t="s">
        <v>74</v>
      </c>
      <c r="E121">
        <v>2025.1</v>
      </c>
      <c r="F121">
        <v>123</v>
      </c>
      <c r="G121" s="65">
        <v>45536</v>
      </c>
      <c r="H121">
        <v>214</v>
      </c>
      <c r="I121">
        <v>0</v>
      </c>
      <c r="J121" s="198" t="s">
        <v>0</v>
      </c>
      <c r="K121">
        <v>198</v>
      </c>
      <c r="L121">
        <v>230</v>
      </c>
      <c r="M121">
        <v>211</v>
      </c>
      <c r="N121">
        <v>101.4</v>
      </c>
      <c r="O121" s="198" t="s">
        <v>27</v>
      </c>
      <c r="P121">
        <v>208</v>
      </c>
      <c r="Q121">
        <v>0</v>
      </c>
      <c r="R121" s="91"/>
    </row>
    <row r="122" spans="1:18" x14ac:dyDescent="0.25">
      <c r="A122" s="90" t="str">
        <f t="shared" si="1"/>
        <v>Northern TerritoryIn-training44896Initial</v>
      </c>
      <c r="B122" s="199">
        <v>121</v>
      </c>
      <c r="C122" s="198" t="s">
        <v>4</v>
      </c>
      <c r="D122" s="198" t="s">
        <v>75</v>
      </c>
      <c r="E122">
        <v>2023.2</v>
      </c>
      <c r="F122">
        <v>115</v>
      </c>
      <c r="G122" s="65">
        <v>44896</v>
      </c>
      <c r="H122">
        <v>3109</v>
      </c>
      <c r="I122">
        <v>0</v>
      </c>
      <c r="J122" s="198" t="s">
        <v>30</v>
      </c>
      <c r="K122">
        <v>2986</v>
      </c>
      <c r="L122">
        <v>3232</v>
      </c>
      <c r="M122">
        <v>3163</v>
      </c>
      <c r="N122">
        <v>98.3</v>
      </c>
      <c r="O122" s="198" t="s">
        <v>27</v>
      </c>
      <c r="P122">
        <v>3311</v>
      </c>
      <c r="Q122">
        <v>0</v>
      </c>
      <c r="R122" s="91"/>
    </row>
    <row r="123" spans="1:18" x14ac:dyDescent="0.25">
      <c r="A123" s="90" t="str">
        <f t="shared" si="1"/>
        <v>Northern TerritoryIn-training448961st revision</v>
      </c>
      <c r="B123" s="199">
        <v>122</v>
      </c>
      <c r="C123" s="198" t="s">
        <v>4</v>
      </c>
      <c r="D123" s="198" t="s">
        <v>75</v>
      </c>
      <c r="E123">
        <v>2023.2</v>
      </c>
      <c r="F123">
        <v>116</v>
      </c>
      <c r="G123" s="65">
        <v>44896</v>
      </c>
      <c r="H123">
        <v>3184</v>
      </c>
      <c r="I123">
        <v>0</v>
      </c>
      <c r="J123" s="198" t="s">
        <v>0</v>
      </c>
      <c r="K123">
        <v>3132</v>
      </c>
      <c r="L123">
        <v>3236</v>
      </c>
      <c r="M123">
        <v>3163</v>
      </c>
      <c r="N123">
        <v>100.7</v>
      </c>
      <c r="O123" s="198" t="s">
        <v>27</v>
      </c>
      <c r="P123">
        <v>3279</v>
      </c>
      <c r="Q123">
        <v>0</v>
      </c>
      <c r="R123" s="91"/>
    </row>
    <row r="124" spans="1:18" x14ac:dyDescent="0.25">
      <c r="A124" s="90" t="str">
        <f t="shared" si="1"/>
        <v>Northern TerritoryIn-training44986Initial</v>
      </c>
      <c r="B124" s="199">
        <v>123</v>
      </c>
      <c r="C124" s="198" t="s">
        <v>4</v>
      </c>
      <c r="D124" s="198" t="s">
        <v>75</v>
      </c>
      <c r="E124">
        <v>2023.3</v>
      </c>
      <c r="F124">
        <v>116</v>
      </c>
      <c r="G124" s="65">
        <v>44986</v>
      </c>
      <c r="H124">
        <v>3520.0672918</v>
      </c>
      <c r="I124">
        <v>3509</v>
      </c>
      <c r="J124" s="198" t="s">
        <v>30</v>
      </c>
      <c r="K124">
        <v>3410</v>
      </c>
      <c r="L124">
        <v>3630</v>
      </c>
      <c r="M124">
        <v>3611</v>
      </c>
      <c r="N124">
        <v>97.5</v>
      </c>
      <c r="O124" s="198" t="s">
        <v>27</v>
      </c>
      <c r="P124">
        <v>3687</v>
      </c>
      <c r="Q124">
        <v>97.2</v>
      </c>
      <c r="R124" s="91"/>
    </row>
    <row r="125" spans="1:18" x14ac:dyDescent="0.25">
      <c r="A125" s="90" t="str">
        <f t="shared" si="1"/>
        <v>Northern TerritoryIn-training449861st revision</v>
      </c>
      <c r="B125" s="199">
        <v>124</v>
      </c>
      <c r="C125" s="198" t="s">
        <v>4</v>
      </c>
      <c r="D125" s="198" t="s">
        <v>75</v>
      </c>
      <c r="E125">
        <v>2023.3</v>
      </c>
      <c r="F125">
        <v>117</v>
      </c>
      <c r="G125" s="65">
        <v>44986</v>
      </c>
      <c r="H125">
        <v>3648</v>
      </c>
      <c r="I125">
        <v>0</v>
      </c>
      <c r="J125" s="198" t="s">
        <v>0</v>
      </c>
      <c r="K125">
        <v>3600</v>
      </c>
      <c r="L125">
        <v>3696</v>
      </c>
      <c r="M125">
        <v>3611</v>
      </c>
      <c r="N125">
        <v>101</v>
      </c>
      <c r="O125" s="198" t="s">
        <v>27</v>
      </c>
      <c r="P125">
        <v>3732</v>
      </c>
      <c r="Q125">
        <v>0</v>
      </c>
      <c r="R125" s="91"/>
    </row>
    <row r="126" spans="1:18" x14ac:dyDescent="0.25">
      <c r="A126" s="90" t="str">
        <f t="shared" si="1"/>
        <v>Northern TerritoryIn-training45078Initial</v>
      </c>
      <c r="B126" s="199">
        <v>125</v>
      </c>
      <c r="C126" s="198" t="s">
        <v>4</v>
      </c>
      <c r="D126" s="198" t="s">
        <v>75</v>
      </c>
      <c r="E126">
        <v>2023.4</v>
      </c>
      <c r="F126">
        <v>117</v>
      </c>
      <c r="G126" s="65">
        <v>45078</v>
      </c>
      <c r="H126">
        <v>3759</v>
      </c>
      <c r="I126">
        <v>0</v>
      </c>
      <c r="J126" s="198" t="s">
        <v>30</v>
      </c>
      <c r="K126">
        <v>3673</v>
      </c>
      <c r="L126">
        <v>3845</v>
      </c>
      <c r="M126">
        <v>3751</v>
      </c>
      <c r="N126">
        <v>100.2</v>
      </c>
      <c r="O126" s="198" t="s">
        <v>27</v>
      </c>
      <c r="P126">
        <v>3922</v>
      </c>
      <c r="Q126">
        <v>0</v>
      </c>
      <c r="R126" s="91"/>
    </row>
    <row r="127" spans="1:18" x14ac:dyDescent="0.25">
      <c r="A127" s="90" t="str">
        <f t="shared" si="1"/>
        <v>Northern TerritoryIn-training450781st revision</v>
      </c>
      <c r="B127" s="199">
        <v>126</v>
      </c>
      <c r="C127" s="198" t="s">
        <v>4</v>
      </c>
      <c r="D127" s="198" t="s">
        <v>75</v>
      </c>
      <c r="E127">
        <v>2023.4</v>
      </c>
      <c r="F127">
        <v>118</v>
      </c>
      <c r="G127" s="65">
        <v>45078</v>
      </c>
      <c r="H127">
        <v>3798</v>
      </c>
      <c r="I127">
        <v>0</v>
      </c>
      <c r="J127" s="198" t="s">
        <v>0</v>
      </c>
      <c r="K127">
        <v>3753</v>
      </c>
      <c r="L127">
        <v>3843</v>
      </c>
      <c r="M127">
        <v>3751</v>
      </c>
      <c r="N127">
        <v>101.3</v>
      </c>
      <c r="O127" s="198" t="s">
        <v>27</v>
      </c>
      <c r="P127">
        <v>3867</v>
      </c>
      <c r="Q127">
        <v>0</v>
      </c>
      <c r="R127" s="91"/>
    </row>
    <row r="128" spans="1:18" x14ac:dyDescent="0.25">
      <c r="A128" s="90" t="str">
        <f t="shared" si="1"/>
        <v>Northern TerritoryIn-training45170Initial</v>
      </c>
      <c r="B128" s="199">
        <v>127</v>
      </c>
      <c r="C128" s="198" t="s">
        <v>4</v>
      </c>
      <c r="D128" s="198" t="s">
        <v>75</v>
      </c>
      <c r="E128">
        <v>2024.1</v>
      </c>
      <c r="F128">
        <v>118</v>
      </c>
      <c r="G128" s="65">
        <v>45170</v>
      </c>
      <c r="H128">
        <v>3702</v>
      </c>
      <c r="I128">
        <v>0</v>
      </c>
      <c r="J128" s="198" t="s">
        <v>30</v>
      </c>
      <c r="K128">
        <v>3604</v>
      </c>
      <c r="L128">
        <v>3800</v>
      </c>
      <c r="M128">
        <v>3690</v>
      </c>
      <c r="N128">
        <v>100.3</v>
      </c>
      <c r="O128" s="198" t="s">
        <v>27</v>
      </c>
      <c r="P128">
        <v>3873</v>
      </c>
      <c r="Q128">
        <v>0</v>
      </c>
      <c r="R128" s="91"/>
    </row>
    <row r="129" spans="1:18" x14ac:dyDescent="0.25">
      <c r="A129" s="90" t="str">
        <f t="shared" si="1"/>
        <v>Northern TerritoryIn-training451701st revision</v>
      </c>
      <c r="B129" s="199">
        <v>128</v>
      </c>
      <c r="C129" s="198" t="s">
        <v>4</v>
      </c>
      <c r="D129" s="198" t="s">
        <v>75</v>
      </c>
      <c r="E129">
        <v>2024.1</v>
      </c>
      <c r="F129">
        <v>119</v>
      </c>
      <c r="G129" s="65">
        <v>45170</v>
      </c>
      <c r="H129">
        <v>3726</v>
      </c>
      <c r="I129">
        <v>0</v>
      </c>
      <c r="J129" s="198" t="s">
        <v>0</v>
      </c>
      <c r="K129">
        <v>3679</v>
      </c>
      <c r="L129">
        <v>3773</v>
      </c>
      <c r="M129">
        <v>3690</v>
      </c>
      <c r="N129">
        <v>101</v>
      </c>
      <c r="O129" s="198" t="s">
        <v>27</v>
      </c>
      <c r="P129">
        <v>3799</v>
      </c>
      <c r="Q129">
        <v>0</v>
      </c>
      <c r="R129" s="91"/>
    </row>
    <row r="130" spans="1:18" x14ac:dyDescent="0.25">
      <c r="A130" s="90" t="str">
        <f t="shared" ref="A130:A193" si="2">CONCATENATE(C130,D130,G130,J130)</f>
        <v>QueenslandCancellations/withdrawals44896Initial</v>
      </c>
      <c r="B130" s="199">
        <v>129</v>
      </c>
      <c r="C130" s="198" t="s">
        <v>5</v>
      </c>
      <c r="D130" s="198" t="s">
        <v>72</v>
      </c>
      <c r="E130">
        <v>2023.2</v>
      </c>
      <c r="F130">
        <v>115</v>
      </c>
      <c r="G130" s="65">
        <v>44896</v>
      </c>
      <c r="H130">
        <v>6901</v>
      </c>
      <c r="I130">
        <v>0</v>
      </c>
      <c r="J130" s="198" t="s">
        <v>30</v>
      </c>
      <c r="K130">
        <v>6469</v>
      </c>
      <c r="L130">
        <v>7333</v>
      </c>
      <c r="M130">
        <v>8387</v>
      </c>
      <c r="N130">
        <v>82.3</v>
      </c>
      <c r="O130" s="198" t="s">
        <v>26</v>
      </c>
      <c r="P130">
        <v>6060</v>
      </c>
      <c r="Q130">
        <v>0</v>
      </c>
      <c r="R130" s="91"/>
    </row>
    <row r="131" spans="1:18" x14ac:dyDescent="0.25">
      <c r="A131" s="90" t="str">
        <f t="shared" si="2"/>
        <v>QueenslandCancellations/withdrawals448961st revision</v>
      </c>
      <c r="B131" s="199">
        <v>130</v>
      </c>
      <c r="C131" s="198" t="s">
        <v>5</v>
      </c>
      <c r="D131" s="198" t="s">
        <v>72</v>
      </c>
      <c r="E131">
        <v>2023.2</v>
      </c>
      <c r="F131">
        <v>116</v>
      </c>
      <c r="G131" s="65">
        <v>44896</v>
      </c>
      <c r="H131">
        <v>7879</v>
      </c>
      <c r="I131">
        <v>0</v>
      </c>
      <c r="J131" s="198" t="s">
        <v>0</v>
      </c>
      <c r="K131">
        <v>7748</v>
      </c>
      <c r="L131">
        <v>8010</v>
      </c>
      <c r="M131">
        <v>8387</v>
      </c>
      <c r="N131">
        <v>93.9</v>
      </c>
      <c r="O131" s="198" t="s">
        <v>26</v>
      </c>
      <c r="P131">
        <v>7456</v>
      </c>
      <c r="Q131">
        <v>0</v>
      </c>
      <c r="R131" s="91"/>
    </row>
    <row r="132" spans="1:18" x14ac:dyDescent="0.25">
      <c r="A132" s="90" t="str">
        <f t="shared" si="2"/>
        <v>QueenslandCancellations/withdrawals44986Initial</v>
      </c>
      <c r="B132" s="199">
        <v>131</v>
      </c>
      <c r="C132" s="198" t="s">
        <v>5</v>
      </c>
      <c r="D132" s="198" t="s">
        <v>72</v>
      </c>
      <c r="E132">
        <v>2023.3</v>
      </c>
      <c r="F132">
        <v>116</v>
      </c>
      <c r="G132" s="65">
        <v>44986</v>
      </c>
      <c r="H132">
        <v>7558</v>
      </c>
      <c r="I132">
        <v>0</v>
      </c>
      <c r="J132" s="198" t="s">
        <v>30</v>
      </c>
      <c r="K132">
        <v>7045</v>
      </c>
      <c r="L132">
        <v>8071</v>
      </c>
      <c r="M132">
        <v>8444</v>
      </c>
      <c r="N132">
        <v>89.5</v>
      </c>
      <c r="O132" s="198" t="s">
        <v>26</v>
      </c>
      <c r="P132">
        <v>6620</v>
      </c>
      <c r="Q132">
        <v>0</v>
      </c>
      <c r="R132" s="91"/>
    </row>
    <row r="133" spans="1:18" x14ac:dyDescent="0.25">
      <c r="A133" s="90" t="str">
        <f t="shared" si="2"/>
        <v>QueenslandCancellations/withdrawals449861st revision</v>
      </c>
      <c r="B133" s="199">
        <v>132</v>
      </c>
      <c r="C133" s="198" t="s">
        <v>5</v>
      </c>
      <c r="D133" s="198" t="s">
        <v>72</v>
      </c>
      <c r="E133">
        <v>2023.3</v>
      </c>
      <c r="F133">
        <v>117</v>
      </c>
      <c r="G133" s="65">
        <v>44986</v>
      </c>
      <c r="H133">
        <v>8204</v>
      </c>
      <c r="I133">
        <v>0</v>
      </c>
      <c r="J133" s="198" t="s">
        <v>0</v>
      </c>
      <c r="K133">
        <v>8067</v>
      </c>
      <c r="L133">
        <v>8341</v>
      </c>
      <c r="M133">
        <v>8444</v>
      </c>
      <c r="N133">
        <v>97.2</v>
      </c>
      <c r="O133" s="198" t="s">
        <v>26</v>
      </c>
      <c r="P133">
        <v>7761</v>
      </c>
      <c r="Q133">
        <v>0</v>
      </c>
      <c r="R133" s="91"/>
    </row>
    <row r="134" spans="1:18" x14ac:dyDescent="0.25">
      <c r="A134" s="90" t="str">
        <f t="shared" si="2"/>
        <v>QueenslandCancellations/withdrawals45078Initial</v>
      </c>
      <c r="B134" s="199">
        <v>133</v>
      </c>
      <c r="C134" s="198" t="s">
        <v>5</v>
      </c>
      <c r="D134" s="198" t="s">
        <v>72</v>
      </c>
      <c r="E134">
        <v>2023.4</v>
      </c>
      <c r="F134">
        <v>117</v>
      </c>
      <c r="G134" s="65">
        <v>45078</v>
      </c>
      <c r="H134">
        <v>7239</v>
      </c>
      <c r="I134">
        <v>0</v>
      </c>
      <c r="J134" s="198" t="s">
        <v>30</v>
      </c>
      <c r="K134">
        <v>6761</v>
      </c>
      <c r="L134">
        <v>7717</v>
      </c>
      <c r="M134">
        <v>7634</v>
      </c>
      <c r="N134">
        <v>94.8</v>
      </c>
      <c r="O134" s="198" t="s">
        <v>27</v>
      </c>
      <c r="P134">
        <v>6314</v>
      </c>
      <c r="Q134">
        <v>0</v>
      </c>
      <c r="R134" s="91"/>
    </row>
    <row r="135" spans="1:18" x14ac:dyDescent="0.25">
      <c r="A135" s="90" t="str">
        <f t="shared" si="2"/>
        <v>QueenslandCancellations/withdrawals450781st revision</v>
      </c>
      <c r="B135" s="199">
        <v>134</v>
      </c>
      <c r="C135" s="198" t="s">
        <v>5</v>
      </c>
      <c r="D135" s="198" t="s">
        <v>72</v>
      </c>
      <c r="E135">
        <v>2023.4</v>
      </c>
      <c r="F135">
        <v>118</v>
      </c>
      <c r="G135" s="65">
        <v>45078</v>
      </c>
      <c r="H135">
        <v>7371</v>
      </c>
      <c r="I135">
        <v>0</v>
      </c>
      <c r="J135" s="198" t="s">
        <v>0</v>
      </c>
      <c r="K135">
        <v>7267</v>
      </c>
      <c r="L135">
        <v>7475</v>
      </c>
      <c r="M135">
        <v>7634</v>
      </c>
      <c r="N135">
        <v>96.6</v>
      </c>
      <c r="O135" s="198" t="s">
        <v>27</v>
      </c>
      <c r="P135">
        <v>6961</v>
      </c>
      <c r="Q135">
        <v>0</v>
      </c>
      <c r="R135" s="91"/>
    </row>
    <row r="136" spans="1:18" x14ac:dyDescent="0.25">
      <c r="A136" s="90" t="str">
        <f t="shared" si="2"/>
        <v>QueenslandCancellations/withdrawals45170Initial</v>
      </c>
      <c r="B136" s="199">
        <v>135</v>
      </c>
      <c r="C136" s="198" t="s">
        <v>5</v>
      </c>
      <c r="D136" s="198" t="s">
        <v>72</v>
      </c>
      <c r="E136">
        <v>2024.1</v>
      </c>
      <c r="F136">
        <v>118</v>
      </c>
      <c r="G136" s="65">
        <v>45170</v>
      </c>
      <c r="H136">
        <v>7174</v>
      </c>
      <c r="I136">
        <v>0</v>
      </c>
      <c r="J136" s="198" t="s">
        <v>30</v>
      </c>
      <c r="K136">
        <v>6767</v>
      </c>
      <c r="L136">
        <v>7581</v>
      </c>
      <c r="M136">
        <v>7416</v>
      </c>
      <c r="N136">
        <v>96.7</v>
      </c>
      <c r="O136" s="198" t="s">
        <v>27</v>
      </c>
      <c r="P136">
        <v>6215</v>
      </c>
      <c r="Q136">
        <v>0</v>
      </c>
      <c r="R136" s="91"/>
    </row>
    <row r="137" spans="1:18" x14ac:dyDescent="0.25">
      <c r="A137" s="90" t="str">
        <f t="shared" si="2"/>
        <v>QueenslandCancellations/withdrawals451701st revision</v>
      </c>
      <c r="B137" s="199">
        <v>136</v>
      </c>
      <c r="C137" s="198" t="s">
        <v>5</v>
      </c>
      <c r="D137" s="198" t="s">
        <v>72</v>
      </c>
      <c r="E137">
        <v>2024.1</v>
      </c>
      <c r="F137">
        <v>119</v>
      </c>
      <c r="G137" s="65">
        <v>45170</v>
      </c>
      <c r="H137">
        <v>7421</v>
      </c>
      <c r="I137">
        <v>0</v>
      </c>
      <c r="J137" s="198" t="s">
        <v>0</v>
      </c>
      <c r="K137">
        <v>7263</v>
      </c>
      <c r="L137">
        <v>7579</v>
      </c>
      <c r="M137">
        <v>7416</v>
      </c>
      <c r="N137">
        <v>100.1</v>
      </c>
      <c r="O137" s="198" t="s">
        <v>27</v>
      </c>
      <c r="P137">
        <v>6993</v>
      </c>
      <c r="Q137">
        <v>0</v>
      </c>
      <c r="R137" s="91"/>
    </row>
    <row r="138" spans="1:18" x14ac:dyDescent="0.25">
      <c r="A138" s="90" t="str">
        <f t="shared" si="2"/>
        <v>QueenslandCommencements45261Initial</v>
      </c>
      <c r="B138" s="199">
        <v>137</v>
      </c>
      <c r="C138" s="198" t="s">
        <v>5</v>
      </c>
      <c r="D138" s="198" t="s">
        <v>73</v>
      </c>
      <c r="E138">
        <v>2024.2</v>
      </c>
      <c r="F138">
        <v>119</v>
      </c>
      <c r="G138" s="65">
        <v>45261</v>
      </c>
      <c r="H138">
        <v>9445</v>
      </c>
      <c r="I138">
        <v>0</v>
      </c>
      <c r="J138" s="198" t="s">
        <v>30</v>
      </c>
      <c r="K138">
        <v>8072</v>
      </c>
      <c r="L138">
        <v>10818</v>
      </c>
      <c r="M138">
        <v>8903</v>
      </c>
      <c r="N138">
        <v>106.1</v>
      </c>
      <c r="O138" s="198" t="s">
        <v>27</v>
      </c>
      <c r="P138">
        <v>8496</v>
      </c>
      <c r="Q138">
        <v>0</v>
      </c>
      <c r="R138" s="91"/>
    </row>
    <row r="139" spans="1:18" x14ac:dyDescent="0.25">
      <c r="A139" s="90" t="str">
        <f t="shared" si="2"/>
        <v>QueenslandCommencements452611st revision</v>
      </c>
      <c r="B139" s="199">
        <v>138</v>
      </c>
      <c r="C139" s="198" t="s">
        <v>5</v>
      </c>
      <c r="D139" s="198" t="s">
        <v>73</v>
      </c>
      <c r="E139">
        <v>2024.2</v>
      </c>
      <c r="F139">
        <v>120</v>
      </c>
      <c r="G139" s="65">
        <v>45261</v>
      </c>
      <c r="H139">
        <v>9014</v>
      </c>
      <c r="I139">
        <v>0</v>
      </c>
      <c r="J139" s="198" t="s">
        <v>0</v>
      </c>
      <c r="K139">
        <v>8792</v>
      </c>
      <c r="L139">
        <v>9236</v>
      </c>
      <c r="M139">
        <v>8903</v>
      </c>
      <c r="N139">
        <v>101.2</v>
      </c>
      <c r="O139" s="198" t="s">
        <v>27</v>
      </c>
      <c r="P139">
        <v>8860</v>
      </c>
      <c r="Q139">
        <v>0</v>
      </c>
      <c r="R139" s="91"/>
    </row>
    <row r="140" spans="1:18" x14ac:dyDescent="0.25">
      <c r="A140" s="90" t="str">
        <f t="shared" si="2"/>
        <v>QueenslandCommencements45352Initial</v>
      </c>
      <c r="B140" s="199">
        <v>139</v>
      </c>
      <c r="C140" s="198" t="s">
        <v>5</v>
      </c>
      <c r="D140" s="198" t="s">
        <v>73</v>
      </c>
      <c r="E140">
        <v>2024.3</v>
      </c>
      <c r="F140">
        <v>120</v>
      </c>
      <c r="G140" s="65">
        <v>45352</v>
      </c>
      <c r="H140">
        <v>15314</v>
      </c>
      <c r="I140">
        <v>0</v>
      </c>
      <c r="J140" s="198" t="s">
        <v>30</v>
      </c>
      <c r="K140">
        <v>13082</v>
      </c>
      <c r="L140">
        <v>17546</v>
      </c>
      <c r="M140">
        <v>14369</v>
      </c>
      <c r="N140">
        <v>106.6</v>
      </c>
      <c r="O140" s="198" t="s">
        <v>27</v>
      </c>
      <c r="P140">
        <v>13777</v>
      </c>
      <c r="Q140">
        <v>0</v>
      </c>
      <c r="R140" s="91"/>
    </row>
    <row r="141" spans="1:18" x14ac:dyDescent="0.25">
      <c r="A141" s="90" t="str">
        <f t="shared" si="2"/>
        <v>QueenslandCommencements453521st revision</v>
      </c>
      <c r="B141" s="199">
        <v>140</v>
      </c>
      <c r="C141" s="198" t="s">
        <v>5</v>
      </c>
      <c r="D141" s="198" t="s">
        <v>73</v>
      </c>
      <c r="E141">
        <v>2024.3</v>
      </c>
      <c r="F141">
        <v>121</v>
      </c>
      <c r="G141" s="65">
        <v>45352</v>
      </c>
      <c r="H141">
        <v>14556</v>
      </c>
      <c r="I141">
        <v>0</v>
      </c>
      <c r="J141" s="198" t="s">
        <v>0</v>
      </c>
      <c r="K141">
        <v>14170</v>
      </c>
      <c r="L141">
        <v>14942</v>
      </c>
      <c r="M141">
        <v>14369</v>
      </c>
      <c r="N141">
        <v>101.3</v>
      </c>
      <c r="O141" s="198" t="s">
        <v>27</v>
      </c>
      <c r="P141">
        <v>14316</v>
      </c>
      <c r="Q141">
        <v>0</v>
      </c>
      <c r="R141" s="91"/>
    </row>
    <row r="142" spans="1:18" x14ac:dyDescent="0.25">
      <c r="A142" s="90" t="str">
        <f t="shared" si="2"/>
        <v>QueenslandCommencements45444Initial</v>
      </c>
      <c r="B142" s="199">
        <v>141</v>
      </c>
      <c r="C142" s="198" t="s">
        <v>5</v>
      </c>
      <c r="D142" s="198" t="s">
        <v>73</v>
      </c>
      <c r="E142">
        <v>2024.4</v>
      </c>
      <c r="F142">
        <v>121</v>
      </c>
      <c r="G142" s="65">
        <v>45444</v>
      </c>
      <c r="H142">
        <v>12684</v>
      </c>
      <c r="I142">
        <v>0</v>
      </c>
      <c r="J142" s="198" t="s">
        <v>30</v>
      </c>
      <c r="K142">
        <v>10762</v>
      </c>
      <c r="L142">
        <v>14606</v>
      </c>
      <c r="M142">
        <v>12153</v>
      </c>
      <c r="N142">
        <v>104.4</v>
      </c>
      <c r="O142" s="198" t="s">
        <v>27</v>
      </c>
      <c r="P142">
        <v>11437</v>
      </c>
      <c r="Q142">
        <v>0</v>
      </c>
      <c r="R142" s="91"/>
    </row>
    <row r="143" spans="1:18" x14ac:dyDescent="0.25">
      <c r="A143" s="90" t="str">
        <f t="shared" si="2"/>
        <v>QueenslandCommencements454441st revision</v>
      </c>
      <c r="B143" s="199">
        <v>142</v>
      </c>
      <c r="C143" s="198" t="s">
        <v>5</v>
      </c>
      <c r="D143" s="198" t="s">
        <v>73</v>
      </c>
      <c r="E143">
        <v>2024.4</v>
      </c>
      <c r="F143">
        <v>122</v>
      </c>
      <c r="G143" s="65">
        <v>45444</v>
      </c>
      <c r="H143">
        <v>12305</v>
      </c>
      <c r="I143">
        <v>0</v>
      </c>
      <c r="J143" s="198" t="s">
        <v>0</v>
      </c>
      <c r="K143">
        <v>11952</v>
      </c>
      <c r="L143">
        <v>12658</v>
      </c>
      <c r="M143">
        <v>12153</v>
      </c>
      <c r="N143">
        <v>101.3</v>
      </c>
      <c r="O143" s="198" t="s">
        <v>27</v>
      </c>
      <c r="P143">
        <v>12118</v>
      </c>
      <c r="Q143">
        <v>0</v>
      </c>
      <c r="R143" s="91"/>
    </row>
    <row r="144" spans="1:18" x14ac:dyDescent="0.25">
      <c r="A144" s="90" t="str">
        <f t="shared" si="2"/>
        <v>QueenslandCommencements45536Initial</v>
      </c>
      <c r="B144" s="199">
        <v>143</v>
      </c>
      <c r="C144" s="198" t="s">
        <v>5</v>
      </c>
      <c r="D144" s="198" t="s">
        <v>73</v>
      </c>
      <c r="E144">
        <v>2025.1</v>
      </c>
      <c r="F144">
        <v>122</v>
      </c>
      <c r="G144" s="65">
        <v>45536</v>
      </c>
      <c r="H144">
        <v>8640</v>
      </c>
      <c r="I144">
        <v>0</v>
      </c>
      <c r="J144" s="198" t="s">
        <v>30</v>
      </c>
      <c r="K144">
        <v>7246</v>
      </c>
      <c r="L144">
        <v>10034</v>
      </c>
      <c r="M144">
        <v>8226</v>
      </c>
      <c r="N144">
        <v>105</v>
      </c>
      <c r="O144" s="198" t="s">
        <v>27</v>
      </c>
      <c r="P144">
        <v>7823</v>
      </c>
      <c r="Q144">
        <v>0</v>
      </c>
      <c r="R144" s="91"/>
    </row>
    <row r="145" spans="1:18" x14ac:dyDescent="0.25">
      <c r="A145" s="90" t="str">
        <f t="shared" si="2"/>
        <v>QueenslandCommencements455361st revision</v>
      </c>
      <c r="B145" s="199">
        <v>144</v>
      </c>
      <c r="C145" s="198" t="s">
        <v>5</v>
      </c>
      <c r="D145" s="198" t="s">
        <v>73</v>
      </c>
      <c r="E145">
        <v>2025.1</v>
      </c>
      <c r="F145">
        <v>123</v>
      </c>
      <c r="G145" s="65">
        <v>45536</v>
      </c>
      <c r="H145">
        <v>8256</v>
      </c>
      <c r="I145">
        <v>0</v>
      </c>
      <c r="J145" s="198" t="s">
        <v>0</v>
      </c>
      <c r="K145">
        <v>8008</v>
      </c>
      <c r="L145">
        <v>8504</v>
      </c>
      <c r="M145">
        <v>8226</v>
      </c>
      <c r="N145">
        <v>100.4</v>
      </c>
      <c r="O145" s="198" t="s">
        <v>27</v>
      </c>
      <c r="P145">
        <v>8143</v>
      </c>
      <c r="Q145">
        <v>0</v>
      </c>
      <c r="R145" s="91"/>
    </row>
    <row r="146" spans="1:18" x14ac:dyDescent="0.25">
      <c r="A146" s="90" t="str">
        <f t="shared" si="2"/>
        <v>QueenslandCompletions45261Initial</v>
      </c>
      <c r="B146" s="199">
        <v>145</v>
      </c>
      <c r="C146" s="198" t="s">
        <v>5</v>
      </c>
      <c r="D146" s="198" t="s">
        <v>74</v>
      </c>
      <c r="E146">
        <v>2024.2</v>
      </c>
      <c r="F146">
        <v>119</v>
      </c>
      <c r="G146" s="65">
        <v>45261</v>
      </c>
      <c r="H146">
        <v>7617</v>
      </c>
      <c r="I146">
        <v>0</v>
      </c>
      <c r="J146" s="198" t="s">
        <v>30</v>
      </c>
      <c r="K146">
        <v>7474</v>
      </c>
      <c r="L146">
        <v>7760</v>
      </c>
      <c r="M146">
        <v>7488</v>
      </c>
      <c r="N146">
        <v>101.7</v>
      </c>
      <c r="O146" s="198" t="s">
        <v>27</v>
      </c>
      <c r="P146">
        <v>7176</v>
      </c>
      <c r="Q146">
        <v>0</v>
      </c>
      <c r="R146" s="91"/>
    </row>
    <row r="147" spans="1:18" x14ac:dyDescent="0.25">
      <c r="A147" s="90" t="str">
        <f t="shared" si="2"/>
        <v>QueenslandCompletions452611st revision</v>
      </c>
      <c r="B147" s="199">
        <v>146</v>
      </c>
      <c r="C147" s="198" t="s">
        <v>5</v>
      </c>
      <c r="D147" s="198" t="s">
        <v>74</v>
      </c>
      <c r="E147">
        <v>2024.2</v>
      </c>
      <c r="F147">
        <v>120</v>
      </c>
      <c r="G147" s="65">
        <v>45261</v>
      </c>
      <c r="H147">
        <v>7572</v>
      </c>
      <c r="I147">
        <v>0</v>
      </c>
      <c r="J147" s="198" t="s">
        <v>0</v>
      </c>
      <c r="K147">
        <v>7514</v>
      </c>
      <c r="L147">
        <v>7630</v>
      </c>
      <c r="M147">
        <v>7488</v>
      </c>
      <c r="N147">
        <v>101.1</v>
      </c>
      <c r="O147" s="198" t="s">
        <v>27</v>
      </c>
      <c r="P147">
        <v>7372</v>
      </c>
      <c r="Q147">
        <v>0</v>
      </c>
      <c r="R147" s="91"/>
    </row>
    <row r="148" spans="1:18" x14ac:dyDescent="0.25">
      <c r="A148" s="90" t="str">
        <f t="shared" si="2"/>
        <v>QueenslandCompletions45352Initial</v>
      </c>
      <c r="B148" s="199">
        <v>147</v>
      </c>
      <c r="C148" s="198" t="s">
        <v>5</v>
      </c>
      <c r="D148" s="198" t="s">
        <v>74</v>
      </c>
      <c r="E148">
        <v>2024.3</v>
      </c>
      <c r="F148">
        <v>120</v>
      </c>
      <c r="G148" s="65">
        <v>45352</v>
      </c>
      <c r="H148">
        <v>5898</v>
      </c>
      <c r="I148">
        <v>0</v>
      </c>
      <c r="J148" s="198" t="s">
        <v>30</v>
      </c>
      <c r="K148">
        <v>5776</v>
      </c>
      <c r="L148">
        <v>6020</v>
      </c>
      <c r="M148">
        <v>5840</v>
      </c>
      <c r="N148">
        <v>101</v>
      </c>
      <c r="O148" s="198" t="s">
        <v>27</v>
      </c>
      <c r="P148">
        <v>5549</v>
      </c>
      <c r="Q148">
        <v>0</v>
      </c>
      <c r="R148" s="91"/>
    </row>
    <row r="149" spans="1:18" x14ac:dyDescent="0.25">
      <c r="A149" s="90" t="str">
        <f t="shared" si="2"/>
        <v>QueenslandCompletions453521st revision</v>
      </c>
      <c r="B149" s="199">
        <v>148</v>
      </c>
      <c r="C149" s="198" t="s">
        <v>5</v>
      </c>
      <c r="D149" s="198" t="s">
        <v>74</v>
      </c>
      <c r="E149">
        <v>2024.3</v>
      </c>
      <c r="F149">
        <v>121</v>
      </c>
      <c r="G149" s="65">
        <v>45352</v>
      </c>
      <c r="H149">
        <v>5907</v>
      </c>
      <c r="I149">
        <v>0</v>
      </c>
      <c r="J149" s="198" t="s">
        <v>0</v>
      </c>
      <c r="K149">
        <v>5869</v>
      </c>
      <c r="L149">
        <v>5945</v>
      </c>
      <c r="M149">
        <v>5840</v>
      </c>
      <c r="N149">
        <v>101.1</v>
      </c>
      <c r="O149" s="198" t="s">
        <v>27</v>
      </c>
      <c r="P149">
        <v>5741</v>
      </c>
      <c r="Q149">
        <v>0</v>
      </c>
      <c r="R149" s="91"/>
    </row>
    <row r="150" spans="1:18" x14ac:dyDescent="0.25">
      <c r="A150" s="90" t="str">
        <f t="shared" si="2"/>
        <v>QueenslandCompletions45444Initial</v>
      </c>
      <c r="B150" s="199">
        <v>149</v>
      </c>
      <c r="C150" s="198" t="s">
        <v>5</v>
      </c>
      <c r="D150" s="198" t="s">
        <v>74</v>
      </c>
      <c r="E150">
        <v>2024.4</v>
      </c>
      <c r="F150">
        <v>121</v>
      </c>
      <c r="G150" s="65">
        <v>45444</v>
      </c>
      <c r="H150">
        <v>6460</v>
      </c>
      <c r="I150">
        <v>0</v>
      </c>
      <c r="J150" s="198" t="s">
        <v>30</v>
      </c>
      <c r="K150">
        <v>6340</v>
      </c>
      <c r="L150">
        <v>6580</v>
      </c>
      <c r="M150">
        <v>6249</v>
      </c>
      <c r="N150">
        <v>103.4</v>
      </c>
      <c r="O150" s="198" t="s">
        <v>26</v>
      </c>
      <c r="P150">
        <v>6047</v>
      </c>
      <c r="Q150">
        <v>0</v>
      </c>
      <c r="R150" s="91"/>
    </row>
    <row r="151" spans="1:18" x14ac:dyDescent="0.25">
      <c r="A151" s="90" t="str">
        <f t="shared" si="2"/>
        <v>QueenslandCompletions454441st revision</v>
      </c>
      <c r="B151" s="199">
        <v>150</v>
      </c>
      <c r="C151" s="198" t="s">
        <v>5</v>
      </c>
      <c r="D151" s="198" t="s">
        <v>74</v>
      </c>
      <c r="E151">
        <v>2024.4</v>
      </c>
      <c r="F151">
        <v>122</v>
      </c>
      <c r="G151" s="65">
        <v>45444</v>
      </c>
      <c r="H151">
        <v>6376</v>
      </c>
      <c r="I151">
        <v>0</v>
      </c>
      <c r="J151" s="198" t="s">
        <v>0</v>
      </c>
      <c r="K151">
        <v>6339</v>
      </c>
      <c r="L151">
        <v>6413</v>
      </c>
      <c r="M151">
        <v>6249</v>
      </c>
      <c r="N151">
        <v>102</v>
      </c>
      <c r="O151" s="198" t="s">
        <v>26</v>
      </c>
      <c r="P151">
        <v>6191</v>
      </c>
      <c r="Q151">
        <v>0</v>
      </c>
      <c r="R151" s="91"/>
    </row>
    <row r="152" spans="1:18" x14ac:dyDescent="0.25">
      <c r="A152" s="90" t="str">
        <f t="shared" si="2"/>
        <v>QueenslandCompletions45536Initial</v>
      </c>
      <c r="B152" s="199">
        <v>151</v>
      </c>
      <c r="C152" s="198" t="s">
        <v>5</v>
      </c>
      <c r="D152" s="198" t="s">
        <v>74</v>
      </c>
      <c r="E152">
        <v>2025.1</v>
      </c>
      <c r="F152">
        <v>122</v>
      </c>
      <c r="G152" s="65">
        <v>45536</v>
      </c>
      <c r="H152">
        <v>6187</v>
      </c>
      <c r="I152">
        <v>0</v>
      </c>
      <c r="J152" s="198" t="s">
        <v>30</v>
      </c>
      <c r="K152">
        <v>6067</v>
      </c>
      <c r="L152">
        <v>6307</v>
      </c>
      <c r="M152">
        <v>6039</v>
      </c>
      <c r="N152">
        <v>102.5</v>
      </c>
      <c r="O152" s="198" t="s">
        <v>26</v>
      </c>
      <c r="P152">
        <v>5785</v>
      </c>
      <c r="Q152">
        <v>0</v>
      </c>
      <c r="R152" s="91"/>
    </row>
    <row r="153" spans="1:18" x14ac:dyDescent="0.25">
      <c r="A153" s="90" t="str">
        <f t="shared" si="2"/>
        <v>QueenslandCompletions455361st revision</v>
      </c>
      <c r="B153" s="199">
        <v>152</v>
      </c>
      <c r="C153" s="198" t="s">
        <v>5</v>
      </c>
      <c r="D153" s="198" t="s">
        <v>74</v>
      </c>
      <c r="E153">
        <v>2025.1</v>
      </c>
      <c r="F153">
        <v>123</v>
      </c>
      <c r="G153" s="65">
        <v>45536</v>
      </c>
      <c r="H153">
        <v>6136</v>
      </c>
      <c r="I153">
        <v>0</v>
      </c>
      <c r="J153" s="198" t="s">
        <v>0</v>
      </c>
      <c r="K153">
        <v>6062</v>
      </c>
      <c r="L153">
        <v>6210</v>
      </c>
      <c r="M153">
        <v>6039</v>
      </c>
      <c r="N153">
        <v>101.6</v>
      </c>
      <c r="O153" s="198" t="s">
        <v>26</v>
      </c>
      <c r="P153">
        <v>5960</v>
      </c>
      <c r="Q153">
        <v>0</v>
      </c>
      <c r="R153" s="91"/>
    </row>
    <row r="154" spans="1:18" x14ac:dyDescent="0.25">
      <c r="A154" s="90" t="str">
        <f t="shared" si="2"/>
        <v>QueenslandIn-training44896Initial</v>
      </c>
      <c r="B154" s="199">
        <v>153</v>
      </c>
      <c r="C154" s="198" t="s">
        <v>5</v>
      </c>
      <c r="D154" s="198" t="s">
        <v>75</v>
      </c>
      <c r="E154">
        <v>2023.2</v>
      </c>
      <c r="F154">
        <v>115</v>
      </c>
      <c r="G154" s="65">
        <v>44896</v>
      </c>
      <c r="H154">
        <v>93453</v>
      </c>
      <c r="I154">
        <v>0</v>
      </c>
      <c r="J154" s="198" t="s">
        <v>30</v>
      </c>
      <c r="K154">
        <v>92728</v>
      </c>
      <c r="L154">
        <v>94178</v>
      </c>
      <c r="M154">
        <v>90597</v>
      </c>
      <c r="N154">
        <v>103.2</v>
      </c>
      <c r="O154" s="198" t="s">
        <v>26</v>
      </c>
      <c r="P154">
        <v>93974</v>
      </c>
      <c r="Q154">
        <v>0</v>
      </c>
      <c r="R154" s="91"/>
    </row>
    <row r="155" spans="1:18" x14ac:dyDescent="0.25">
      <c r="A155" s="90" t="str">
        <f t="shared" si="2"/>
        <v>QueenslandIn-training448961st revision</v>
      </c>
      <c r="B155" s="199">
        <v>154</v>
      </c>
      <c r="C155" s="198" t="s">
        <v>5</v>
      </c>
      <c r="D155" s="198" t="s">
        <v>75</v>
      </c>
      <c r="E155">
        <v>2023.2</v>
      </c>
      <c r="F155">
        <v>116</v>
      </c>
      <c r="G155" s="65">
        <v>44896</v>
      </c>
      <c r="H155">
        <v>92248</v>
      </c>
      <c r="I155">
        <v>0</v>
      </c>
      <c r="J155" s="198" t="s">
        <v>0</v>
      </c>
      <c r="K155">
        <v>91930</v>
      </c>
      <c r="L155">
        <v>92566</v>
      </c>
      <c r="M155">
        <v>90597</v>
      </c>
      <c r="N155">
        <v>101.8</v>
      </c>
      <c r="O155" s="198" t="s">
        <v>26</v>
      </c>
      <c r="P155">
        <v>92446</v>
      </c>
      <c r="Q155">
        <v>0</v>
      </c>
      <c r="R155" s="91"/>
    </row>
    <row r="156" spans="1:18" x14ac:dyDescent="0.25">
      <c r="A156" s="90" t="str">
        <f t="shared" si="2"/>
        <v>QueenslandIn-training44986Initial</v>
      </c>
      <c r="B156" s="199">
        <v>155</v>
      </c>
      <c r="C156" s="198" t="s">
        <v>5</v>
      </c>
      <c r="D156" s="198" t="s">
        <v>75</v>
      </c>
      <c r="E156">
        <v>2023.3</v>
      </c>
      <c r="F156">
        <v>116</v>
      </c>
      <c r="G156" s="65">
        <v>44986</v>
      </c>
      <c r="H156">
        <v>95689</v>
      </c>
      <c r="I156">
        <v>0</v>
      </c>
      <c r="J156" s="198" t="s">
        <v>30</v>
      </c>
      <c r="K156">
        <v>93819</v>
      </c>
      <c r="L156">
        <v>97559</v>
      </c>
      <c r="M156">
        <v>92913</v>
      </c>
      <c r="N156">
        <v>103</v>
      </c>
      <c r="O156" s="198" t="s">
        <v>26</v>
      </c>
      <c r="P156">
        <v>95399</v>
      </c>
      <c r="Q156">
        <v>0</v>
      </c>
      <c r="R156" s="91"/>
    </row>
    <row r="157" spans="1:18" x14ac:dyDescent="0.25">
      <c r="A157" s="90" t="str">
        <f t="shared" si="2"/>
        <v>QueenslandIn-training449861st revision</v>
      </c>
      <c r="B157" s="199">
        <v>156</v>
      </c>
      <c r="C157" s="198" t="s">
        <v>5</v>
      </c>
      <c r="D157" s="198" t="s">
        <v>75</v>
      </c>
      <c r="E157">
        <v>2023.3</v>
      </c>
      <c r="F157">
        <v>117</v>
      </c>
      <c r="G157" s="65">
        <v>44986</v>
      </c>
      <c r="H157">
        <v>94880</v>
      </c>
      <c r="I157">
        <v>0</v>
      </c>
      <c r="J157" s="198" t="s">
        <v>0</v>
      </c>
      <c r="K157">
        <v>94370</v>
      </c>
      <c r="L157">
        <v>95390</v>
      </c>
      <c r="M157">
        <v>92913</v>
      </c>
      <c r="N157">
        <v>102.1</v>
      </c>
      <c r="O157" s="198" t="s">
        <v>26</v>
      </c>
      <c r="P157">
        <v>94698</v>
      </c>
      <c r="Q157">
        <v>0</v>
      </c>
      <c r="R157" s="91"/>
    </row>
    <row r="158" spans="1:18" x14ac:dyDescent="0.25">
      <c r="A158" s="90" t="str">
        <f t="shared" si="2"/>
        <v>QueenslandIn-training45078Initial</v>
      </c>
      <c r="B158" s="199">
        <v>157</v>
      </c>
      <c r="C158" s="198" t="s">
        <v>5</v>
      </c>
      <c r="D158" s="198" t="s">
        <v>75</v>
      </c>
      <c r="E158">
        <v>2023.4</v>
      </c>
      <c r="F158">
        <v>117</v>
      </c>
      <c r="G158" s="65">
        <v>45078</v>
      </c>
      <c r="H158">
        <v>93088</v>
      </c>
      <c r="I158">
        <v>0</v>
      </c>
      <c r="J158" s="198" t="s">
        <v>30</v>
      </c>
      <c r="K158">
        <v>91157</v>
      </c>
      <c r="L158">
        <v>95019</v>
      </c>
      <c r="M158">
        <v>89874</v>
      </c>
      <c r="N158">
        <v>103.6</v>
      </c>
      <c r="O158" s="198" t="s">
        <v>26</v>
      </c>
      <c r="P158">
        <v>92528</v>
      </c>
      <c r="Q158">
        <v>0</v>
      </c>
      <c r="R158" s="91"/>
    </row>
    <row r="159" spans="1:18" x14ac:dyDescent="0.25">
      <c r="A159" s="90" t="str">
        <f t="shared" si="2"/>
        <v>QueenslandIn-training450781st revision</v>
      </c>
      <c r="B159" s="199">
        <v>158</v>
      </c>
      <c r="C159" s="198" t="s">
        <v>5</v>
      </c>
      <c r="D159" s="198" t="s">
        <v>75</v>
      </c>
      <c r="E159">
        <v>2023.4</v>
      </c>
      <c r="F159">
        <v>118</v>
      </c>
      <c r="G159" s="65">
        <v>45078</v>
      </c>
      <c r="H159">
        <v>92123</v>
      </c>
      <c r="I159">
        <v>0</v>
      </c>
      <c r="J159" s="198" t="s">
        <v>0</v>
      </c>
      <c r="K159">
        <v>91738</v>
      </c>
      <c r="L159">
        <v>92508</v>
      </c>
      <c r="M159">
        <v>89874</v>
      </c>
      <c r="N159">
        <v>102.5</v>
      </c>
      <c r="O159" s="198" t="s">
        <v>26</v>
      </c>
      <c r="P159">
        <v>91697</v>
      </c>
      <c r="Q159">
        <v>0</v>
      </c>
      <c r="R159" s="91"/>
    </row>
    <row r="160" spans="1:18" x14ac:dyDescent="0.25">
      <c r="A160" s="90" t="str">
        <f t="shared" si="2"/>
        <v>QueenslandIn-training45170Initial</v>
      </c>
      <c r="B160" s="199">
        <v>159</v>
      </c>
      <c r="C160" s="198" t="s">
        <v>5</v>
      </c>
      <c r="D160" s="198" t="s">
        <v>75</v>
      </c>
      <c r="E160">
        <v>2024.1</v>
      </c>
      <c r="F160">
        <v>118</v>
      </c>
      <c r="G160" s="65">
        <v>45170</v>
      </c>
      <c r="H160">
        <v>90621</v>
      </c>
      <c r="I160">
        <v>0</v>
      </c>
      <c r="J160" s="198" t="s">
        <v>30</v>
      </c>
      <c r="K160">
        <v>88858</v>
      </c>
      <c r="L160">
        <v>92384</v>
      </c>
      <c r="M160">
        <v>87132</v>
      </c>
      <c r="N160">
        <v>104</v>
      </c>
      <c r="O160" s="198" t="s">
        <v>26</v>
      </c>
      <c r="P160">
        <v>89784</v>
      </c>
      <c r="Q160">
        <v>0</v>
      </c>
      <c r="R160" s="91"/>
    </row>
    <row r="161" spans="1:18" x14ac:dyDescent="0.25">
      <c r="A161" s="90" t="str">
        <f t="shared" si="2"/>
        <v>QueenslandIn-training451701st revision</v>
      </c>
      <c r="B161" s="199">
        <v>160</v>
      </c>
      <c r="C161" s="198" t="s">
        <v>5</v>
      </c>
      <c r="D161" s="198" t="s">
        <v>75</v>
      </c>
      <c r="E161">
        <v>2024.1</v>
      </c>
      <c r="F161">
        <v>119</v>
      </c>
      <c r="G161" s="65">
        <v>45170</v>
      </c>
      <c r="H161">
        <v>89030</v>
      </c>
      <c r="I161">
        <v>0</v>
      </c>
      <c r="J161" s="198" t="s">
        <v>0</v>
      </c>
      <c r="K161">
        <v>88634</v>
      </c>
      <c r="L161">
        <v>89426</v>
      </c>
      <c r="M161">
        <v>87132</v>
      </c>
      <c r="N161">
        <v>102.2</v>
      </c>
      <c r="O161" s="198" t="s">
        <v>26</v>
      </c>
      <c r="P161">
        <v>88511</v>
      </c>
      <c r="Q161">
        <v>0</v>
      </c>
      <c r="R161" s="91"/>
    </row>
    <row r="162" spans="1:18" x14ac:dyDescent="0.25">
      <c r="A162" s="90" t="str">
        <f t="shared" si="2"/>
        <v>South AustraliaCancellations/withdrawals44896Initial</v>
      </c>
      <c r="B162" s="199">
        <v>161</v>
      </c>
      <c r="C162" s="198" t="s">
        <v>6</v>
      </c>
      <c r="D162" s="198" t="s">
        <v>72</v>
      </c>
      <c r="E162">
        <v>2023.2</v>
      </c>
      <c r="F162">
        <v>115</v>
      </c>
      <c r="G162" s="65">
        <v>44896</v>
      </c>
      <c r="H162">
        <v>1651</v>
      </c>
      <c r="I162">
        <v>0</v>
      </c>
      <c r="J162" s="198" t="s">
        <v>30</v>
      </c>
      <c r="K162">
        <v>1457</v>
      </c>
      <c r="L162">
        <v>1845</v>
      </c>
      <c r="M162">
        <v>1737</v>
      </c>
      <c r="N162">
        <v>95</v>
      </c>
      <c r="O162" s="198" t="s">
        <v>27</v>
      </c>
      <c r="P162">
        <v>1311</v>
      </c>
      <c r="Q162">
        <v>0</v>
      </c>
      <c r="R162" s="91"/>
    </row>
    <row r="163" spans="1:18" x14ac:dyDescent="0.25">
      <c r="A163" s="90" t="str">
        <f t="shared" si="2"/>
        <v>South AustraliaCancellations/withdrawals448961st revision</v>
      </c>
      <c r="B163" s="199">
        <v>162</v>
      </c>
      <c r="C163" s="198" t="s">
        <v>6</v>
      </c>
      <c r="D163" s="198" t="s">
        <v>72</v>
      </c>
      <c r="E163">
        <v>2023.2</v>
      </c>
      <c r="F163">
        <v>116</v>
      </c>
      <c r="G163" s="65">
        <v>44896</v>
      </c>
      <c r="H163">
        <v>1707</v>
      </c>
      <c r="I163">
        <v>0</v>
      </c>
      <c r="J163" s="198" t="s">
        <v>0</v>
      </c>
      <c r="K163">
        <v>1623</v>
      </c>
      <c r="L163">
        <v>1791</v>
      </c>
      <c r="M163">
        <v>1737</v>
      </c>
      <c r="N163">
        <v>98.3</v>
      </c>
      <c r="O163" s="198" t="s">
        <v>27</v>
      </c>
      <c r="P163">
        <v>1507</v>
      </c>
      <c r="Q163">
        <v>0</v>
      </c>
      <c r="R163" s="91"/>
    </row>
    <row r="164" spans="1:18" x14ac:dyDescent="0.25">
      <c r="A164" s="90" t="str">
        <f t="shared" si="2"/>
        <v>South AustraliaCancellations/withdrawals44986Initial</v>
      </c>
      <c r="B164" s="199">
        <v>163</v>
      </c>
      <c r="C164" s="198" t="s">
        <v>6</v>
      </c>
      <c r="D164" s="198" t="s">
        <v>72</v>
      </c>
      <c r="E164">
        <v>2023.3</v>
      </c>
      <c r="F164">
        <v>116</v>
      </c>
      <c r="G164" s="65">
        <v>44986</v>
      </c>
      <c r="H164">
        <v>1776</v>
      </c>
      <c r="I164">
        <v>0</v>
      </c>
      <c r="J164" s="198" t="s">
        <v>30</v>
      </c>
      <c r="K164">
        <v>1574</v>
      </c>
      <c r="L164">
        <v>1978</v>
      </c>
      <c r="M164">
        <v>1718</v>
      </c>
      <c r="N164">
        <v>103.4</v>
      </c>
      <c r="O164" s="198" t="s">
        <v>27</v>
      </c>
      <c r="P164">
        <v>1403</v>
      </c>
      <c r="Q164">
        <v>0</v>
      </c>
      <c r="R164" s="91"/>
    </row>
    <row r="165" spans="1:18" x14ac:dyDescent="0.25">
      <c r="A165" s="90" t="str">
        <f t="shared" si="2"/>
        <v>South AustraliaCancellations/withdrawals449861st revision</v>
      </c>
      <c r="B165" s="199">
        <v>164</v>
      </c>
      <c r="C165" s="198" t="s">
        <v>6</v>
      </c>
      <c r="D165" s="198" t="s">
        <v>72</v>
      </c>
      <c r="E165">
        <v>2023.3</v>
      </c>
      <c r="F165">
        <v>117</v>
      </c>
      <c r="G165" s="65">
        <v>44986</v>
      </c>
      <c r="H165">
        <v>1763</v>
      </c>
      <c r="I165">
        <v>0</v>
      </c>
      <c r="J165" s="198" t="s">
        <v>0</v>
      </c>
      <c r="K165">
        <v>1681</v>
      </c>
      <c r="L165">
        <v>1845</v>
      </c>
      <c r="M165">
        <v>1718</v>
      </c>
      <c r="N165">
        <v>102.6</v>
      </c>
      <c r="O165" s="198" t="s">
        <v>27</v>
      </c>
      <c r="P165">
        <v>1555</v>
      </c>
      <c r="Q165">
        <v>0</v>
      </c>
      <c r="R165" s="91"/>
    </row>
    <row r="166" spans="1:18" x14ac:dyDescent="0.25">
      <c r="A166" s="90" t="str">
        <f t="shared" si="2"/>
        <v>South AustraliaCancellations/withdrawals45078Initial</v>
      </c>
      <c r="B166" s="199">
        <v>165</v>
      </c>
      <c r="C166" s="198" t="s">
        <v>6</v>
      </c>
      <c r="D166" s="198" t="s">
        <v>72</v>
      </c>
      <c r="E166">
        <v>2023.4</v>
      </c>
      <c r="F166">
        <v>117</v>
      </c>
      <c r="G166" s="65">
        <v>45078</v>
      </c>
      <c r="H166">
        <v>1665</v>
      </c>
      <c r="I166">
        <v>0</v>
      </c>
      <c r="J166" s="198" t="s">
        <v>30</v>
      </c>
      <c r="K166">
        <v>1487</v>
      </c>
      <c r="L166">
        <v>1843</v>
      </c>
      <c r="M166">
        <v>1510</v>
      </c>
      <c r="N166">
        <v>110.3</v>
      </c>
      <c r="O166" s="198" t="s">
        <v>27</v>
      </c>
      <c r="P166">
        <v>1307</v>
      </c>
      <c r="Q166">
        <v>0</v>
      </c>
      <c r="R166" s="91"/>
    </row>
    <row r="167" spans="1:18" x14ac:dyDescent="0.25">
      <c r="A167" s="90" t="str">
        <f t="shared" si="2"/>
        <v>South AustraliaCancellations/withdrawals450781st revision</v>
      </c>
      <c r="B167" s="199">
        <v>166</v>
      </c>
      <c r="C167" s="198" t="s">
        <v>6</v>
      </c>
      <c r="D167" s="198" t="s">
        <v>72</v>
      </c>
      <c r="E167">
        <v>2023.4</v>
      </c>
      <c r="F167">
        <v>118</v>
      </c>
      <c r="G167" s="65">
        <v>45078</v>
      </c>
      <c r="H167">
        <v>1563</v>
      </c>
      <c r="I167">
        <v>0</v>
      </c>
      <c r="J167" s="198" t="s">
        <v>0</v>
      </c>
      <c r="K167">
        <v>1473</v>
      </c>
      <c r="L167">
        <v>1653</v>
      </c>
      <c r="M167">
        <v>1510</v>
      </c>
      <c r="N167">
        <v>103.5</v>
      </c>
      <c r="O167" s="198" t="s">
        <v>27</v>
      </c>
      <c r="P167">
        <v>1384</v>
      </c>
      <c r="Q167">
        <v>0</v>
      </c>
      <c r="R167" s="91"/>
    </row>
    <row r="168" spans="1:18" x14ac:dyDescent="0.25">
      <c r="A168" s="90" t="str">
        <f t="shared" si="2"/>
        <v>South AustraliaCancellations/withdrawals45170Initial</v>
      </c>
      <c r="B168" s="199">
        <v>167</v>
      </c>
      <c r="C168" s="198" t="s">
        <v>6</v>
      </c>
      <c r="D168" s="198" t="s">
        <v>72</v>
      </c>
      <c r="E168">
        <v>2024.1</v>
      </c>
      <c r="F168">
        <v>118</v>
      </c>
      <c r="G168" s="65">
        <v>45170</v>
      </c>
      <c r="H168">
        <v>1386</v>
      </c>
      <c r="I168">
        <v>0</v>
      </c>
      <c r="J168" s="198" t="s">
        <v>30</v>
      </c>
      <c r="K168">
        <v>1232</v>
      </c>
      <c r="L168">
        <v>1540</v>
      </c>
      <c r="M168">
        <v>1271</v>
      </c>
      <c r="N168">
        <v>109</v>
      </c>
      <c r="O168" s="198" t="s">
        <v>27</v>
      </c>
      <c r="P168">
        <v>1089</v>
      </c>
      <c r="Q168">
        <v>0</v>
      </c>
      <c r="R168" s="91"/>
    </row>
    <row r="169" spans="1:18" x14ac:dyDescent="0.25">
      <c r="A169" s="90" t="str">
        <f t="shared" si="2"/>
        <v>South AustraliaCancellations/withdrawals451701st revision</v>
      </c>
      <c r="B169" s="199">
        <v>168</v>
      </c>
      <c r="C169" s="198" t="s">
        <v>6</v>
      </c>
      <c r="D169" s="198" t="s">
        <v>72</v>
      </c>
      <c r="E169">
        <v>2024.1</v>
      </c>
      <c r="F169">
        <v>119</v>
      </c>
      <c r="G169" s="65">
        <v>45170</v>
      </c>
      <c r="H169">
        <v>1317</v>
      </c>
      <c r="I169">
        <v>0</v>
      </c>
      <c r="J169" s="198" t="s">
        <v>0</v>
      </c>
      <c r="K169">
        <v>1243</v>
      </c>
      <c r="L169">
        <v>1391</v>
      </c>
      <c r="M169">
        <v>1271</v>
      </c>
      <c r="N169">
        <v>103.6</v>
      </c>
      <c r="O169" s="198" t="s">
        <v>27</v>
      </c>
      <c r="P169">
        <v>1164</v>
      </c>
      <c r="Q169">
        <v>0</v>
      </c>
      <c r="R169" s="91"/>
    </row>
    <row r="170" spans="1:18" x14ac:dyDescent="0.25">
      <c r="A170" s="90" t="str">
        <f t="shared" si="2"/>
        <v>South AustraliaCommencements45261Initial</v>
      </c>
      <c r="B170" s="199">
        <v>169</v>
      </c>
      <c r="C170" s="198" t="s">
        <v>6</v>
      </c>
      <c r="D170" s="198" t="s">
        <v>73</v>
      </c>
      <c r="E170">
        <v>2024.2</v>
      </c>
      <c r="F170">
        <v>119</v>
      </c>
      <c r="G170" s="65">
        <v>45261</v>
      </c>
      <c r="H170">
        <v>1983</v>
      </c>
      <c r="I170">
        <v>2081</v>
      </c>
      <c r="J170" s="198" t="s">
        <v>30</v>
      </c>
      <c r="K170">
        <v>1274</v>
      </c>
      <c r="L170">
        <v>2692</v>
      </c>
      <c r="M170">
        <v>1914</v>
      </c>
      <c r="N170">
        <v>103.6</v>
      </c>
      <c r="O170" s="198" t="s">
        <v>27</v>
      </c>
      <c r="P170">
        <v>1844</v>
      </c>
      <c r="Q170">
        <v>108.7</v>
      </c>
      <c r="R170" s="91"/>
    </row>
    <row r="171" spans="1:18" x14ac:dyDescent="0.25">
      <c r="A171" s="90" t="str">
        <f t="shared" si="2"/>
        <v>South AustraliaCommencements452611st revision</v>
      </c>
      <c r="B171" s="199">
        <v>170</v>
      </c>
      <c r="C171" s="198" t="s">
        <v>6</v>
      </c>
      <c r="D171" s="198" t="s">
        <v>73</v>
      </c>
      <c r="E171">
        <v>2024.2</v>
      </c>
      <c r="F171">
        <v>120</v>
      </c>
      <c r="G171" s="65">
        <v>45261</v>
      </c>
      <c r="H171">
        <v>1932</v>
      </c>
      <c r="I171">
        <v>0</v>
      </c>
      <c r="J171" s="198" t="s">
        <v>0</v>
      </c>
      <c r="K171">
        <v>1894</v>
      </c>
      <c r="L171">
        <v>1970</v>
      </c>
      <c r="M171">
        <v>1914</v>
      </c>
      <c r="N171">
        <v>100.9</v>
      </c>
      <c r="O171" s="198" t="s">
        <v>27</v>
      </c>
      <c r="P171">
        <v>1909</v>
      </c>
      <c r="Q171">
        <v>0</v>
      </c>
      <c r="R171" s="91"/>
    </row>
    <row r="172" spans="1:18" x14ac:dyDescent="0.25">
      <c r="A172" s="90" t="str">
        <f t="shared" si="2"/>
        <v>South AustraliaCommencements45352Initial</v>
      </c>
      <c r="B172" s="199">
        <v>171</v>
      </c>
      <c r="C172" s="198" t="s">
        <v>6</v>
      </c>
      <c r="D172" s="198" t="s">
        <v>73</v>
      </c>
      <c r="E172">
        <v>2024.3</v>
      </c>
      <c r="F172">
        <v>120</v>
      </c>
      <c r="G172" s="65">
        <v>45352</v>
      </c>
      <c r="H172">
        <v>3297</v>
      </c>
      <c r="I172">
        <v>3461</v>
      </c>
      <c r="J172" s="198" t="s">
        <v>30</v>
      </c>
      <c r="K172">
        <v>2103</v>
      </c>
      <c r="L172">
        <v>4491</v>
      </c>
      <c r="M172">
        <v>3153</v>
      </c>
      <c r="N172">
        <v>104.6</v>
      </c>
      <c r="O172" s="198" t="s">
        <v>27</v>
      </c>
      <c r="P172">
        <v>3081</v>
      </c>
      <c r="Q172">
        <v>109.8</v>
      </c>
      <c r="R172" s="91"/>
    </row>
    <row r="173" spans="1:18" x14ac:dyDescent="0.25">
      <c r="A173" s="90" t="str">
        <f t="shared" si="2"/>
        <v>South AustraliaCommencements453521st revision</v>
      </c>
      <c r="B173" s="199">
        <v>172</v>
      </c>
      <c r="C173" s="198" t="s">
        <v>6</v>
      </c>
      <c r="D173" s="198" t="s">
        <v>73</v>
      </c>
      <c r="E173">
        <v>2024.3</v>
      </c>
      <c r="F173">
        <v>121</v>
      </c>
      <c r="G173" s="65">
        <v>45352</v>
      </c>
      <c r="H173">
        <v>3172</v>
      </c>
      <c r="I173">
        <v>0</v>
      </c>
      <c r="J173" s="198" t="s">
        <v>0</v>
      </c>
      <c r="K173">
        <v>3103</v>
      </c>
      <c r="L173">
        <v>3241</v>
      </c>
      <c r="M173">
        <v>3153</v>
      </c>
      <c r="N173">
        <v>100.6</v>
      </c>
      <c r="O173" s="198" t="s">
        <v>27</v>
      </c>
      <c r="P173">
        <v>3139</v>
      </c>
      <c r="Q173">
        <v>0</v>
      </c>
      <c r="R173" s="91"/>
    </row>
    <row r="174" spans="1:18" x14ac:dyDescent="0.25">
      <c r="A174" s="90" t="str">
        <f t="shared" si="2"/>
        <v>South AustraliaCommencements45444Initial</v>
      </c>
      <c r="B174" s="199">
        <v>173</v>
      </c>
      <c r="C174" s="198" t="s">
        <v>6</v>
      </c>
      <c r="D174" s="198" t="s">
        <v>73</v>
      </c>
      <c r="E174">
        <v>2024.4</v>
      </c>
      <c r="F174">
        <v>121</v>
      </c>
      <c r="G174" s="65">
        <v>45444</v>
      </c>
      <c r="H174">
        <v>2691</v>
      </c>
      <c r="I174">
        <v>2830</v>
      </c>
      <c r="J174" s="198" t="s">
        <v>30</v>
      </c>
      <c r="K174">
        <v>1675</v>
      </c>
      <c r="L174">
        <v>3707</v>
      </c>
      <c r="M174">
        <v>2686</v>
      </c>
      <c r="N174">
        <v>100.2</v>
      </c>
      <c r="O174" s="198" t="s">
        <v>27</v>
      </c>
      <c r="P174">
        <v>2545</v>
      </c>
      <c r="Q174">
        <v>105.4</v>
      </c>
      <c r="R174" s="91"/>
    </row>
    <row r="175" spans="1:18" x14ac:dyDescent="0.25">
      <c r="A175" s="90" t="str">
        <f t="shared" si="2"/>
        <v>South AustraliaCommencements454441st revision</v>
      </c>
      <c r="B175" s="199">
        <v>174</v>
      </c>
      <c r="C175" s="198" t="s">
        <v>6</v>
      </c>
      <c r="D175" s="198" t="s">
        <v>73</v>
      </c>
      <c r="E175">
        <v>2024.4</v>
      </c>
      <c r="F175">
        <v>122</v>
      </c>
      <c r="G175" s="65">
        <v>45444</v>
      </c>
      <c r="H175">
        <v>2685</v>
      </c>
      <c r="I175">
        <v>0</v>
      </c>
      <c r="J175" s="198" t="s">
        <v>0</v>
      </c>
      <c r="K175">
        <v>2635</v>
      </c>
      <c r="L175">
        <v>2735</v>
      </c>
      <c r="M175">
        <v>2686</v>
      </c>
      <c r="N175">
        <v>100</v>
      </c>
      <c r="O175" s="198" t="s">
        <v>27</v>
      </c>
      <c r="P175">
        <v>2665</v>
      </c>
      <c r="Q175">
        <v>0</v>
      </c>
      <c r="R175" s="91"/>
    </row>
    <row r="176" spans="1:18" x14ac:dyDescent="0.25">
      <c r="A176" s="90" t="str">
        <f t="shared" si="2"/>
        <v>South AustraliaCommencements45536Initial</v>
      </c>
      <c r="B176" s="199">
        <v>175</v>
      </c>
      <c r="C176" s="198" t="s">
        <v>6</v>
      </c>
      <c r="D176" s="198" t="s">
        <v>73</v>
      </c>
      <c r="E176">
        <v>2025.1</v>
      </c>
      <c r="F176">
        <v>122</v>
      </c>
      <c r="G176" s="65">
        <v>45536</v>
      </c>
      <c r="H176">
        <v>1570</v>
      </c>
      <c r="I176">
        <v>1654</v>
      </c>
      <c r="J176" s="198" t="s">
        <v>30</v>
      </c>
      <c r="K176">
        <v>965</v>
      </c>
      <c r="L176">
        <v>2175</v>
      </c>
      <c r="M176">
        <v>1579</v>
      </c>
      <c r="N176">
        <v>99.4</v>
      </c>
      <c r="O176" s="198" t="s">
        <v>27</v>
      </c>
      <c r="P176">
        <v>1502</v>
      </c>
      <c r="Q176">
        <v>104.7</v>
      </c>
      <c r="R176" s="91"/>
    </row>
    <row r="177" spans="1:18" x14ac:dyDescent="0.25">
      <c r="A177" s="90" t="str">
        <f t="shared" si="2"/>
        <v>South AustraliaCommencements455361st revision</v>
      </c>
      <c r="B177" s="199">
        <v>176</v>
      </c>
      <c r="C177" s="198" t="s">
        <v>6</v>
      </c>
      <c r="D177" s="198" t="s">
        <v>73</v>
      </c>
      <c r="E177">
        <v>2025.1</v>
      </c>
      <c r="F177">
        <v>123</v>
      </c>
      <c r="G177" s="65">
        <v>45536</v>
      </c>
      <c r="H177">
        <v>1583</v>
      </c>
      <c r="I177">
        <v>0</v>
      </c>
      <c r="J177" s="198" t="s">
        <v>0</v>
      </c>
      <c r="K177">
        <v>1554</v>
      </c>
      <c r="L177">
        <v>1612</v>
      </c>
      <c r="M177">
        <v>1579</v>
      </c>
      <c r="N177">
        <v>100.3</v>
      </c>
      <c r="O177" s="198" t="s">
        <v>27</v>
      </c>
      <c r="P177">
        <v>1573</v>
      </c>
      <c r="Q177">
        <v>0</v>
      </c>
      <c r="R177" s="91"/>
    </row>
    <row r="178" spans="1:18" x14ac:dyDescent="0.25">
      <c r="A178" s="90" t="str">
        <f t="shared" si="2"/>
        <v>South AustraliaCompletions45261Initial</v>
      </c>
      <c r="B178" s="199">
        <v>177</v>
      </c>
      <c r="C178" s="198" t="s">
        <v>6</v>
      </c>
      <c r="D178" s="198" t="s">
        <v>74</v>
      </c>
      <c r="E178">
        <v>2024.2</v>
      </c>
      <c r="F178">
        <v>119</v>
      </c>
      <c r="G178" s="65">
        <v>45261</v>
      </c>
      <c r="H178">
        <v>2236</v>
      </c>
      <c r="I178">
        <v>0</v>
      </c>
      <c r="J178" s="198" t="s">
        <v>30</v>
      </c>
      <c r="K178">
        <v>2087</v>
      </c>
      <c r="L178">
        <v>2385</v>
      </c>
      <c r="M178">
        <v>2198</v>
      </c>
      <c r="N178">
        <v>101.7</v>
      </c>
      <c r="O178" s="198" t="s">
        <v>27</v>
      </c>
      <c r="P178">
        <v>1928</v>
      </c>
      <c r="Q178">
        <v>0</v>
      </c>
      <c r="R178" s="91"/>
    </row>
    <row r="179" spans="1:18" x14ac:dyDescent="0.25">
      <c r="A179" s="90" t="str">
        <f t="shared" si="2"/>
        <v>South AustraliaCompletions452611st revision</v>
      </c>
      <c r="B179" s="199">
        <v>178</v>
      </c>
      <c r="C179" s="198" t="s">
        <v>6</v>
      </c>
      <c r="D179" s="198" t="s">
        <v>74</v>
      </c>
      <c r="E179">
        <v>2024.2</v>
      </c>
      <c r="F179">
        <v>120</v>
      </c>
      <c r="G179" s="65">
        <v>45261</v>
      </c>
      <c r="H179">
        <v>2285</v>
      </c>
      <c r="I179">
        <v>0</v>
      </c>
      <c r="J179" s="198" t="s">
        <v>0</v>
      </c>
      <c r="K179">
        <v>2185</v>
      </c>
      <c r="L179">
        <v>2385</v>
      </c>
      <c r="M179">
        <v>2198</v>
      </c>
      <c r="N179">
        <v>104</v>
      </c>
      <c r="O179" s="198" t="s">
        <v>27</v>
      </c>
      <c r="P179">
        <v>2107</v>
      </c>
      <c r="Q179">
        <v>0</v>
      </c>
      <c r="R179" s="91"/>
    </row>
    <row r="180" spans="1:18" x14ac:dyDescent="0.25">
      <c r="A180" s="90" t="str">
        <f t="shared" si="2"/>
        <v>South AustraliaCompletions45352Initial</v>
      </c>
      <c r="B180" s="199">
        <v>179</v>
      </c>
      <c r="C180" s="198" t="s">
        <v>6</v>
      </c>
      <c r="D180" s="198" t="s">
        <v>74</v>
      </c>
      <c r="E180">
        <v>2024.3</v>
      </c>
      <c r="F180">
        <v>120</v>
      </c>
      <c r="G180" s="65">
        <v>45352</v>
      </c>
      <c r="H180">
        <v>1721</v>
      </c>
      <c r="I180">
        <v>0</v>
      </c>
      <c r="J180" s="198" t="s">
        <v>30</v>
      </c>
      <c r="K180">
        <v>1605</v>
      </c>
      <c r="L180">
        <v>1837</v>
      </c>
      <c r="M180">
        <v>1573</v>
      </c>
      <c r="N180">
        <v>109.4</v>
      </c>
      <c r="O180" s="198" t="s">
        <v>26</v>
      </c>
      <c r="P180">
        <v>1473</v>
      </c>
      <c r="Q180">
        <v>0</v>
      </c>
      <c r="R180" s="91"/>
    </row>
    <row r="181" spans="1:18" x14ac:dyDescent="0.25">
      <c r="A181" s="90" t="str">
        <f t="shared" si="2"/>
        <v>South AustraliaCompletions453521st revision</v>
      </c>
      <c r="B181" s="199">
        <v>180</v>
      </c>
      <c r="C181" s="198" t="s">
        <v>6</v>
      </c>
      <c r="D181" s="198" t="s">
        <v>74</v>
      </c>
      <c r="E181">
        <v>2024.3</v>
      </c>
      <c r="F181">
        <v>121</v>
      </c>
      <c r="G181" s="65">
        <v>45352</v>
      </c>
      <c r="H181">
        <v>1663</v>
      </c>
      <c r="I181">
        <v>0</v>
      </c>
      <c r="J181" s="198" t="s">
        <v>0</v>
      </c>
      <c r="K181">
        <v>1593</v>
      </c>
      <c r="L181">
        <v>1733</v>
      </c>
      <c r="M181">
        <v>1573</v>
      </c>
      <c r="N181">
        <v>105.7</v>
      </c>
      <c r="O181" s="198" t="s">
        <v>26</v>
      </c>
      <c r="P181">
        <v>1528</v>
      </c>
      <c r="Q181">
        <v>0</v>
      </c>
      <c r="R181" s="91"/>
    </row>
    <row r="182" spans="1:18" x14ac:dyDescent="0.25">
      <c r="A182" s="90" t="str">
        <f t="shared" si="2"/>
        <v>South AustraliaCompletions45444Initial</v>
      </c>
      <c r="B182" s="199">
        <v>181</v>
      </c>
      <c r="C182" s="198" t="s">
        <v>6</v>
      </c>
      <c r="D182" s="198" t="s">
        <v>74</v>
      </c>
      <c r="E182">
        <v>2024.4</v>
      </c>
      <c r="F182">
        <v>121</v>
      </c>
      <c r="G182" s="65">
        <v>45444</v>
      </c>
      <c r="H182">
        <v>1256</v>
      </c>
      <c r="I182">
        <v>0</v>
      </c>
      <c r="J182" s="198" t="s">
        <v>30</v>
      </c>
      <c r="K182">
        <v>1182</v>
      </c>
      <c r="L182">
        <v>1330</v>
      </c>
      <c r="M182">
        <v>1169</v>
      </c>
      <c r="N182">
        <v>107.4</v>
      </c>
      <c r="O182" s="198" t="s">
        <v>26</v>
      </c>
      <c r="P182">
        <v>1067</v>
      </c>
      <c r="Q182">
        <v>0</v>
      </c>
      <c r="R182" s="91"/>
    </row>
    <row r="183" spans="1:18" x14ac:dyDescent="0.25">
      <c r="A183" s="90" t="str">
        <f t="shared" si="2"/>
        <v>South AustraliaCompletions454441st revision</v>
      </c>
      <c r="B183" s="199">
        <v>182</v>
      </c>
      <c r="C183" s="198" t="s">
        <v>6</v>
      </c>
      <c r="D183" s="198" t="s">
        <v>74</v>
      </c>
      <c r="E183">
        <v>2024.4</v>
      </c>
      <c r="F183">
        <v>122</v>
      </c>
      <c r="G183" s="65">
        <v>45444</v>
      </c>
      <c r="H183">
        <v>1224</v>
      </c>
      <c r="I183">
        <v>0</v>
      </c>
      <c r="J183" s="198" t="s">
        <v>0</v>
      </c>
      <c r="K183">
        <v>1181</v>
      </c>
      <c r="L183">
        <v>1267</v>
      </c>
      <c r="M183">
        <v>1169</v>
      </c>
      <c r="N183">
        <v>104.7</v>
      </c>
      <c r="O183" s="198" t="s">
        <v>26</v>
      </c>
      <c r="P183">
        <v>1120</v>
      </c>
      <c r="Q183">
        <v>0</v>
      </c>
      <c r="R183" s="91"/>
    </row>
    <row r="184" spans="1:18" x14ac:dyDescent="0.25">
      <c r="A184" s="90" t="str">
        <f t="shared" si="2"/>
        <v>South AustraliaCompletions45536Initial</v>
      </c>
      <c r="B184" s="199">
        <v>183</v>
      </c>
      <c r="C184" s="198" t="s">
        <v>6</v>
      </c>
      <c r="D184" s="198" t="s">
        <v>74</v>
      </c>
      <c r="E184">
        <v>2025.1</v>
      </c>
      <c r="F184">
        <v>122</v>
      </c>
      <c r="G184" s="65">
        <v>45536</v>
      </c>
      <c r="H184">
        <v>1316</v>
      </c>
      <c r="I184">
        <v>0</v>
      </c>
      <c r="J184" s="198" t="s">
        <v>30</v>
      </c>
      <c r="K184">
        <v>1253</v>
      </c>
      <c r="L184">
        <v>1379</v>
      </c>
      <c r="M184">
        <v>1212</v>
      </c>
      <c r="N184">
        <v>108.6</v>
      </c>
      <c r="O184" s="198" t="s">
        <v>26</v>
      </c>
      <c r="P184">
        <v>1109</v>
      </c>
      <c r="Q184">
        <v>0</v>
      </c>
      <c r="R184" s="91"/>
    </row>
    <row r="185" spans="1:18" x14ac:dyDescent="0.25">
      <c r="A185" s="90" t="str">
        <f t="shared" si="2"/>
        <v>South AustraliaCompletions455361st revision</v>
      </c>
      <c r="B185" s="199">
        <v>184</v>
      </c>
      <c r="C185" s="198" t="s">
        <v>6</v>
      </c>
      <c r="D185" s="198" t="s">
        <v>74</v>
      </c>
      <c r="E185">
        <v>2025.1</v>
      </c>
      <c r="F185">
        <v>123</v>
      </c>
      <c r="G185" s="65">
        <v>45536</v>
      </c>
      <c r="H185">
        <v>1271</v>
      </c>
      <c r="I185">
        <v>0</v>
      </c>
      <c r="J185" s="198" t="s">
        <v>0</v>
      </c>
      <c r="K185">
        <v>1211</v>
      </c>
      <c r="L185">
        <v>1331</v>
      </c>
      <c r="M185">
        <v>1212</v>
      </c>
      <c r="N185">
        <v>104.9</v>
      </c>
      <c r="O185" s="198" t="s">
        <v>26</v>
      </c>
      <c r="P185">
        <v>1169</v>
      </c>
      <c r="Q185">
        <v>0</v>
      </c>
      <c r="R185" s="91"/>
    </row>
    <row r="186" spans="1:18" x14ac:dyDescent="0.25">
      <c r="A186" s="90" t="str">
        <f t="shared" si="2"/>
        <v>South AustraliaIn-training44896Initial</v>
      </c>
      <c r="B186" s="199">
        <v>185</v>
      </c>
      <c r="C186" s="198" t="s">
        <v>6</v>
      </c>
      <c r="D186" s="198" t="s">
        <v>75</v>
      </c>
      <c r="E186">
        <v>2023.2</v>
      </c>
      <c r="F186">
        <v>115</v>
      </c>
      <c r="G186" s="65">
        <v>44896</v>
      </c>
      <c r="H186">
        <v>29380</v>
      </c>
      <c r="I186">
        <v>0</v>
      </c>
      <c r="J186" s="198" t="s">
        <v>30</v>
      </c>
      <c r="K186">
        <v>28992</v>
      </c>
      <c r="L186">
        <v>29768</v>
      </c>
      <c r="M186">
        <v>28140</v>
      </c>
      <c r="N186">
        <v>104.4</v>
      </c>
      <c r="O186" s="198" t="s">
        <v>26</v>
      </c>
      <c r="P186">
        <v>29655</v>
      </c>
      <c r="Q186">
        <v>0</v>
      </c>
      <c r="R186" s="91"/>
    </row>
    <row r="187" spans="1:18" x14ac:dyDescent="0.25">
      <c r="A187" s="90" t="str">
        <f t="shared" si="2"/>
        <v>South AustraliaIn-training448961st revision</v>
      </c>
      <c r="B187" s="199">
        <v>186</v>
      </c>
      <c r="C187" s="198" t="s">
        <v>6</v>
      </c>
      <c r="D187" s="198" t="s">
        <v>75</v>
      </c>
      <c r="E187">
        <v>2023.2</v>
      </c>
      <c r="F187">
        <v>116</v>
      </c>
      <c r="G187" s="65">
        <v>44896</v>
      </c>
      <c r="H187">
        <v>29138</v>
      </c>
      <c r="I187">
        <v>0</v>
      </c>
      <c r="J187" s="198" t="s">
        <v>0</v>
      </c>
      <c r="K187">
        <v>28943</v>
      </c>
      <c r="L187">
        <v>29333</v>
      </c>
      <c r="M187">
        <v>28140</v>
      </c>
      <c r="N187">
        <v>103.5</v>
      </c>
      <c r="O187" s="198" t="s">
        <v>26</v>
      </c>
      <c r="P187">
        <v>29172</v>
      </c>
      <c r="Q187">
        <v>0</v>
      </c>
      <c r="R187" s="91"/>
    </row>
    <row r="188" spans="1:18" x14ac:dyDescent="0.25">
      <c r="A188" s="90" t="str">
        <f t="shared" si="2"/>
        <v>South AustraliaIn-training44986Initial</v>
      </c>
      <c r="B188" s="199">
        <v>187</v>
      </c>
      <c r="C188" s="198" t="s">
        <v>6</v>
      </c>
      <c r="D188" s="198" t="s">
        <v>75</v>
      </c>
      <c r="E188">
        <v>2023.3</v>
      </c>
      <c r="F188">
        <v>116</v>
      </c>
      <c r="G188" s="65">
        <v>44986</v>
      </c>
      <c r="H188">
        <v>29369.2824674</v>
      </c>
      <c r="I188">
        <v>29559</v>
      </c>
      <c r="J188" s="198" t="s">
        <v>30</v>
      </c>
      <c r="K188">
        <v>27960</v>
      </c>
      <c r="L188">
        <v>30779</v>
      </c>
      <c r="M188">
        <v>28162</v>
      </c>
      <c r="N188">
        <v>104.3</v>
      </c>
      <c r="O188" s="198" t="s">
        <v>27</v>
      </c>
      <c r="P188">
        <v>29442</v>
      </c>
      <c r="Q188">
        <v>105</v>
      </c>
      <c r="R188" s="91"/>
    </row>
    <row r="189" spans="1:18" x14ac:dyDescent="0.25">
      <c r="A189" s="90" t="str">
        <f t="shared" si="2"/>
        <v>South AustraliaIn-training449861st revision</v>
      </c>
      <c r="B189" s="199">
        <v>188</v>
      </c>
      <c r="C189" s="198" t="s">
        <v>6</v>
      </c>
      <c r="D189" s="198" t="s">
        <v>75</v>
      </c>
      <c r="E189">
        <v>2023.3</v>
      </c>
      <c r="F189">
        <v>117</v>
      </c>
      <c r="G189" s="65">
        <v>44986</v>
      </c>
      <c r="H189">
        <v>29120</v>
      </c>
      <c r="I189">
        <v>0</v>
      </c>
      <c r="J189" s="198" t="s">
        <v>0</v>
      </c>
      <c r="K189">
        <v>28913</v>
      </c>
      <c r="L189">
        <v>29327</v>
      </c>
      <c r="M189">
        <v>28162</v>
      </c>
      <c r="N189">
        <v>103.4</v>
      </c>
      <c r="O189" s="198" t="s">
        <v>27</v>
      </c>
      <c r="P189">
        <v>29091</v>
      </c>
      <c r="Q189">
        <v>0</v>
      </c>
      <c r="R189" s="91"/>
    </row>
    <row r="190" spans="1:18" x14ac:dyDescent="0.25">
      <c r="A190" s="90" t="str">
        <f t="shared" si="2"/>
        <v>South AustraliaIn-training45078Initial</v>
      </c>
      <c r="B190" s="199">
        <v>189</v>
      </c>
      <c r="C190" s="198" t="s">
        <v>6</v>
      </c>
      <c r="D190" s="198" t="s">
        <v>75</v>
      </c>
      <c r="E190">
        <v>2023.4</v>
      </c>
      <c r="F190">
        <v>117</v>
      </c>
      <c r="G190" s="65">
        <v>45078</v>
      </c>
      <c r="H190">
        <v>28083</v>
      </c>
      <c r="I190">
        <v>28191</v>
      </c>
      <c r="J190" s="198" t="s">
        <v>30</v>
      </c>
      <c r="K190">
        <v>27249</v>
      </c>
      <c r="L190">
        <v>28917</v>
      </c>
      <c r="M190">
        <v>26973</v>
      </c>
      <c r="N190">
        <v>104.1</v>
      </c>
      <c r="O190" s="198" t="s">
        <v>26</v>
      </c>
      <c r="P190">
        <v>28187</v>
      </c>
      <c r="Q190">
        <v>104.5</v>
      </c>
      <c r="R190" s="91"/>
    </row>
    <row r="191" spans="1:18" x14ac:dyDescent="0.25">
      <c r="A191" s="90" t="str">
        <f t="shared" si="2"/>
        <v>South AustraliaIn-training450781st revision</v>
      </c>
      <c r="B191" s="199">
        <v>190</v>
      </c>
      <c r="C191" s="198" t="s">
        <v>6</v>
      </c>
      <c r="D191" s="198" t="s">
        <v>75</v>
      </c>
      <c r="E191">
        <v>2023.4</v>
      </c>
      <c r="F191">
        <v>118</v>
      </c>
      <c r="G191" s="65">
        <v>45078</v>
      </c>
      <c r="H191">
        <v>27857</v>
      </c>
      <c r="I191">
        <v>0</v>
      </c>
      <c r="J191" s="198" t="s">
        <v>0</v>
      </c>
      <c r="K191">
        <v>27612</v>
      </c>
      <c r="L191">
        <v>28102</v>
      </c>
      <c r="M191">
        <v>26973</v>
      </c>
      <c r="N191">
        <v>103.3</v>
      </c>
      <c r="O191" s="198" t="s">
        <v>26</v>
      </c>
      <c r="P191">
        <v>27809</v>
      </c>
      <c r="Q191">
        <v>0</v>
      </c>
      <c r="R191" s="91"/>
    </row>
    <row r="192" spans="1:18" x14ac:dyDescent="0.25">
      <c r="A192" s="90" t="str">
        <f t="shared" si="2"/>
        <v>South AustraliaIn-training45170Initial</v>
      </c>
      <c r="B192" s="199">
        <v>191</v>
      </c>
      <c r="C192" s="198" t="s">
        <v>6</v>
      </c>
      <c r="D192" s="198" t="s">
        <v>75</v>
      </c>
      <c r="E192">
        <v>2024.1</v>
      </c>
      <c r="F192">
        <v>118</v>
      </c>
      <c r="G192" s="65">
        <v>45170</v>
      </c>
      <c r="H192">
        <v>26801</v>
      </c>
      <c r="I192">
        <v>26897</v>
      </c>
      <c r="J192" s="198" t="s">
        <v>30</v>
      </c>
      <c r="K192">
        <v>26040</v>
      </c>
      <c r="L192">
        <v>27562</v>
      </c>
      <c r="M192">
        <v>25662</v>
      </c>
      <c r="N192">
        <v>104.4</v>
      </c>
      <c r="O192" s="198" t="s">
        <v>26</v>
      </c>
      <c r="P192">
        <v>26803</v>
      </c>
      <c r="Q192">
        <v>104.8</v>
      </c>
      <c r="R192" s="91"/>
    </row>
    <row r="193" spans="1:18" x14ac:dyDescent="0.25">
      <c r="A193" s="90" t="str">
        <f t="shared" si="2"/>
        <v>South AustraliaIn-training451701st revision</v>
      </c>
      <c r="B193" s="199">
        <v>192</v>
      </c>
      <c r="C193" s="198" t="s">
        <v>6</v>
      </c>
      <c r="D193" s="198" t="s">
        <v>75</v>
      </c>
      <c r="E193">
        <v>2024.1</v>
      </c>
      <c r="F193">
        <v>119</v>
      </c>
      <c r="G193" s="65">
        <v>45170</v>
      </c>
      <c r="H193">
        <v>26588</v>
      </c>
      <c r="I193">
        <v>0</v>
      </c>
      <c r="J193" s="198" t="s">
        <v>0</v>
      </c>
      <c r="K193">
        <v>26302</v>
      </c>
      <c r="L193">
        <v>26874</v>
      </c>
      <c r="M193">
        <v>25662</v>
      </c>
      <c r="N193">
        <v>103.6</v>
      </c>
      <c r="O193" s="198" t="s">
        <v>26</v>
      </c>
      <c r="P193">
        <v>26466</v>
      </c>
      <c r="Q193">
        <v>0</v>
      </c>
      <c r="R193" s="91"/>
    </row>
    <row r="194" spans="1:18" x14ac:dyDescent="0.25">
      <c r="A194" s="90" t="str">
        <f t="shared" ref="A194:A257" si="3">CONCATENATE(C194,D194,G194,J194)</f>
        <v>TasmaniaCancellations/withdrawals44896Initial</v>
      </c>
      <c r="B194" s="199">
        <v>193</v>
      </c>
      <c r="C194" s="198" t="s">
        <v>7</v>
      </c>
      <c r="D194" s="198" t="s">
        <v>72</v>
      </c>
      <c r="E194">
        <v>2023.2</v>
      </c>
      <c r="F194">
        <v>115</v>
      </c>
      <c r="G194" s="65">
        <v>44896</v>
      </c>
      <c r="H194">
        <v>975</v>
      </c>
      <c r="I194">
        <v>0</v>
      </c>
      <c r="J194" s="198" t="s">
        <v>30</v>
      </c>
      <c r="K194">
        <v>810</v>
      </c>
      <c r="L194">
        <v>1140</v>
      </c>
      <c r="M194">
        <v>922</v>
      </c>
      <c r="N194">
        <v>105.7</v>
      </c>
      <c r="O194" s="198" t="s">
        <v>27</v>
      </c>
      <c r="P194">
        <v>807</v>
      </c>
      <c r="Q194">
        <v>0</v>
      </c>
      <c r="R194" s="91"/>
    </row>
    <row r="195" spans="1:18" x14ac:dyDescent="0.25">
      <c r="A195" s="90" t="str">
        <f t="shared" si="3"/>
        <v>TasmaniaCancellations/withdrawals448961st revision</v>
      </c>
      <c r="B195" s="199">
        <v>194</v>
      </c>
      <c r="C195" s="198" t="s">
        <v>7</v>
      </c>
      <c r="D195" s="198" t="s">
        <v>72</v>
      </c>
      <c r="E195">
        <v>2023.2</v>
      </c>
      <c r="F195">
        <v>116</v>
      </c>
      <c r="G195" s="65">
        <v>44896</v>
      </c>
      <c r="H195">
        <v>958</v>
      </c>
      <c r="I195">
        <v>0</v>
      </c>
      <c r="J195" s="198" t="s">
        <v>0</v>
      </c>
      <c r="K195">
        <v>888</v>
      </c>
      <c r="L195">
        <v>1028</v>
      </c>
      <c r="M195">
        <v>922</v>
      </c>
      <c r="N195">
        <v>103.9</v>
      </c>
      <c r="O195" s="198" t="s">
        <v>27</v>
      </c>
      <c r="P195">
        <v>883</v>
      </c>
      <c r="Q195">
        <v>0</v>
      </c>
      <c r="R195" s="91"/>
    </row>
    <row r="196" spans="1:18" x14ac:dyDescent="0.25">
      <c r="A196" s="90" t="str">
        <f t="shared" si="3"/>
        <v>TasmaniaCancellations/withdrawals44986Initial</v>
      </c>
      <c r="B196" s="199">
        <v>195</v>
      </c>
      <c r="C196" s="198" t="s">
        <v>7</v>
      </c>
      <c r="D196" s="198" t="s">
        <v>72</v>
      </c>
      <c r="E196">
        <v>2023.3</v>
      </c>
      <c r="F196">
        <v>116</v>
      </c>
      <c r="G196" s="65">
        <v>44986</v>
      </c>
      <c r="H196">
        <v>1106</v>
      </c>
      <c r="I196">
        <v>0</v>
      </c>
      <c r="J196" s="198" t="s">
        <v>30</v>
      </c>
      <c r="K196">
        <v>916</v>
      </c>
      <c r="L196">
        <v>1296</v>
      </c>
      <c r="M196">
        <v>988</v>
      </c>
      <c r="N196">
        <v>111.9</v>
      </c>
      <c r="O196" s="198" t="s">
        <v>27</v>
      </c>
      <c r="P196">
        <v>909</v>
      </c>
      <c r="Q196">
        <v>0</v>
      </c>
      <c r="R196" s="91"/>
    </row>
    <row r="197" spans="1:18" x14ac:dyDescent="0.25">
      <c r="A197" s="90" t="str">
        <f t="shared" si="3"/>
        <v>TasmaniaCancellations/withdrawals449861st revision</v>
      </c>
      <c r="B197" s="199">
        <v>196</v>
      </c>
      <c r="C197" s="198" t="s">
        <v>7</v>
      </c>
      <c r="D197" s="198" t="s">
        <v>72</v>
      </c>
      <c r="E197">
        <v>2023.3</v>
      </c>
      <c r="F197">
        <v>117</v>
      </c>
      <c r="G197" s="65">
        <v>44986</v>
      </c>
      <c r="H197">
        <v>1034</v>
      </c>
      <c r="I197">
        <v>0</v>
      </c>
      <c r="J197" s="198" t="s">
        <v>0</v>
      </c>
      <c r="K197">
        <v>961</v>
      </c>
      <c r="L197">
        <v>1107</v>
      </c>
      <c r="M197">
        <v>988</v>
      </c>
      <c r="N197">
        <v>104.7</v>
      </c>
      <c r="O197" s="198" t="s">
        <v>27</v>
      </c>
      <c r="P197">
        <v>952</v>
      </c>
      <c r="Q197">
        <v>0</v>
      </c>
      <c r="R197" s="91"/>
    </row>
    <row r="198" spans="1:18" x14ac:dyDescent="0.25">
      <c r="A198" s="90" t="str">
        <f t="shared" si="3"/>
        <v>TasmaniaCancellations/withdrawals45078Initial</v>
      </c>
      <c r="B198" s="199">
        <v>197</v>
      </c>
      <c r="C198" s="198" t="s">
        <v>7</v>
      </c>
      <c r="D198" s="198" t="s">
        <v>72</v>
      </c>
      <c r="E198">
        <v>2023.4</v>
      </c>
      <c r="F198">
        <v>117</v>
      </c>
      <c r="G198" s="65">
        <v>45078</v>
      </c>
      <c r="H198">
        <v>1012</v>
      </c>
      <c r="I198">
        <v>0</v>
      </c>
      <c r="J198" s="198" t="s">
        <v>30</v>
      </c>
      <c r="K198">
        <v>869</v>
      </c>
      <c r="L198">
        <v>1155</v>
      </c>
      <c r="M198">
        <v>907</v>
      </c>
      <c r="N198">
        <v>111.6</v>
      </c>
      <c r="O198" s="198" t="s">
        <v>27</v>
      </c>
      <c r="P198">
        <v>823</v>
      </c>
      <c r="Q198">
        <v>0</v>
      </c>
      <c r="R198" s="91"/>
    </row>
    <row r="199" spans="1:18" x14ac:dyDescent="0.25">
      <c r="A199" s="90" t="str">
        <f t="shared" si="3"/>
        <v>TasmaniaCancellations/withdrawals450781st revision</v>
      </c>
      <c r="B199" s="199">
        <v>198</v>
      </c>
      <c r="C199" s="198" t="s">
        <v>7</v>
      </c>
      <c r="D199" s="198" t="s">
        <v>72</v>
      </c>
      <c r="E199">
        <v>2023.4</v>
      </c>
      <c r="F199">
        <v>118</v>
      </c>
      <c r="G199" s="65">
        <v>45078</v>
      </c>
      <c r="H199">
        <v>937</v>
      </c>
      <c r="I199">
        <v>0</v>
      </c>
      <c r="J199" s="198" t="s">
        <v>0</v>
      </c>
      <c r="K199">
        <v>866</v>
      </c>
      <c r="L199">
        <v>1008</v>
      </c>
      <c r="M199">
        <v>907</v>
      </c>
      <c r="N199">
        <v>103.3</v>
      </c>
      <c r="O199" s="198" t="s">
        <v>27</v>
      </c>
      <c r="P199">
        <v>863</v>
      </c>
      <c r="Q199">
        <v>0</v>
      </c>
      <c r="R199" s="91"/>
    </row>
    <row r="200" spans="1:18" x14ac:dyDescent="0.25">
      <c r="A200" s="90" t="str">
        <f t="shared" si="3"/>
        <v>TasmaniaCancellations/withdrawals45170Initial</v>
      </c>
      <c r="B200" s="199">
        <v>199</v>
      </c>
      <c r="C200" s="198" t="s">
        <v>7</v>
      </c>
      <c r="D200" s="198" t="s">
        <v>72</v>
      </c>
      <c r="E200">
        <v>2024.1</v>
      </c>
      <c r="F200">
        <v>118</v>
      </c>
      <c r="G200" s="65">
        <v>45170</v>
      </c>
      <c r="H200">
        <v>874</v>
      </c>
      <c r="I200">
        <v>0</v>
      </c>
      <c r="J200" s="198" t="s">
        <v>30</v>
      </c>
      <c r="K200">
        <v>746</v>
      </c>
      <c r="L200">
        <v>1002</v>
      </c>
      <c r="M200">
        <v>788</v>
      </c>
      <c r="N200">
        <v>110.9</v>
      </c>
      <c r="O200" s="198" t="s">
        <v>27</v>
      </c>
      <c r="P200">
        <v>711</v>
      </c>
      <c r="Q200">
        <v>0</v>
      </c>
      <c r="R200" s="91"/>
    </row>
    <row r="201" spans="1:18" x14ac:dyDescent="0.25">
      <c r="A201" s="90" t="str">
        <f t="shared" si="3"/>
        <v>TasmaniaCancellations/withdrawals451701st revision</v>
      </c>
      <c r="B201" s="199">
        <v>200</v>
      </c>
      <c r="C201" s="198" t="s">
        <v>7</v>
      </c>
      <c r="D201" s="198" t="s">
        <v>72</v>
      </c>
      <c r="E201">
        <v>2024.1</v>
      </c>
      <c r="F201">
        <v>119</v>
      </c>
      <c r="G201" s="65">
        <v>45170</v>
      </c>
      <c r="H201">
        <v>819</v>
      </c>
      <c r="I201">
        <v>0</v>
      </c>
      <c r="J201" s="198" t="s">
        <v>0</v>
      </c>
      <c r="K201">
        <v>757</v>
      </c>
      <c r="L201">
        <v>881</v>
      </c>
      <c r="M201">
        <v>788</v>
      </c>
      <c r="N201">
        <v>103.9</v>
      </c>
      <c r="O201" s="198" t="s">
        <v>27</v>
      </c>
      <c r="P201">
        <v>756</v>
      </c>
      <c r="Q201">
        <v>0</v>
      </c>
      <c r="R201" s="91"/>
    </row>
    <row r="202" spans="1:18" x14ac:dyDescent="0.25">
      <c r="A202" s="90" t="str">
        <f t="shared" si="3"/>
        <v>TasmaniaCommencements45261Initial</v>
      </c>
      <c r="B202" s="199">
        <v>201</v>
      </c>
      <c r="C202" s="198" t="s">
        <v>7</v>
      </c>
      <c r="D202" s="198" t="s">
        <v>73</v>
      </c>
      <c r="E202">
        <v>2024.2</v>
      </c>
      <c r="F202">
        <v>119</v>
      </c>
      <c r="G202" s="65">
        <v>45261</v>
      </c>
      <c r="H202">
        <v>1051</v>
      </c>
      <c r="I202">
        <v>0</v>
      </c>
      <c r="J202" s="198" t="s">
        <v>30</v>
      </c>
      <c r="K202">
        <v>996</v>
      </c>
      <c r="L202">
        <v>1106</v>
      </c>
      <c r="M202">
        <v>1032</v>
      </c>
      <c r="N202">
        <v>101.8</v>
      </c>
      <c r="O202" s="198" t="s">
        <v>27</v>
      </c>
      <c r="P202">
        <v>1026</v>
      </c>
      <c r="Q202">
        <v>0</v>
      </c>
      <c r="R202" s="91"/>
    </row>
    <row r="203" spans="1:18" x14ac:dyDescent="0.25">
      <c r="A203" s="90" t="str">
        <f t="shared" si="3"/>
        <v>TasmaniaCommencements452611st revision</v>
      </c>
      <c r="B203" s="199">
        <v>202</v>
      </c>
      <c r="C203" s="198" t="s">
        <v>7</v>
      </c>
      <c r="D203" s="198" t="s">
        <v>73</v>
      </c>
      <c r="E203">
        <v>2024.2</v>
      </c>
      <c r="F203">
        <v>120</v>
      </c>
      <c r="G203" s="65">
        <v>45261</v>
      </c>
      <c r="H203">
        <v>1033</v>
      </c>
      <c r="I203">
        <v>0</v>
      </c>
      <c r="J203" s="198" t="s">
        <v>0</v>
      </c>
      <c r="K203">
        <v>1026</v>
      </c>
      <c r="L203">
        <v>1040</v>
      </c>
      <c r="M203">
        <v>1032</v>
      </c>
      <c r="N203">
        <v>100.1</v>
      </c>
      <c r="O203" s="198" t="s">
        <v>27</v>
      </c>
      <c r="P203">
        <v>1030</v>
      </c>
      <c r="Q203">
        <v>0</v>
      </c>
      <c r="R203" s="91"/>
    </row>
    <row r="204" spans="1:18" x14ac:dyDescent="0.25">
      <c r="A204" s="90" t="str">
        <f t="shared" si="3"/>
        <v>TasmaniaCommencements45352Initial</v>
      </c>
      <c r="B204" s="199">
        <v>203</v>
      </c>
      <c r="C204" s="198" t="s">
        <v>7</v>
      </c>
      <c r="D204" s="198" t="s">
        <v>73</v>
      </c>
      <c r="E204">
        <v>2024.3</v>
      </c>
      <c r="F204">
        <v>120</v>
      </c>
      <c r="G204" s="65">
        <v>45352</v>
      </c>
      <c r="H204">
        <v>1851</v>
      </c>
      <c r="I204">
        <v>0</v>
      </c>
      <c r="J204" s="198" t="s">
        <v>30</v>
      </c>
      <c r="K204">
        <v>1753</v>
      </c>
      <c r="L204">
        <v>1949</v>
      </c>
      <c r="M204">
        <v>1810</v>
      </c>
      <c r="N204">
        <v>102.3</v>
      </c>
      <c r="O204" s="198" t="s">
        <v>27</v>
      </c>
      <c r="P204">
        <v>1808</v>
      </c>
      <c r="Q204">
        <v>0</v>
      </c>
      <c r="R204" s="91"/>
    </row>
    <row r="205" spans="1:18" x14ac:dyDescent="0.25">
      <c r="A205" s="90" t="str">
        <f t="shared" si="3"/>
        <v>TasmaniaCommencements453521st revision</v>
      </c>
      <c r="B205" s="199">
        <v>204</v>
      </c>
      <c r="C205" s="198" t="s">
        <v>7</v>
      </c>
      <c r="D205" s="198" t="s">
        <v>73</v>
      </c>
      <c r="E205">
        <v>2024.3</v>
      </c>
      <c r="F205">
        <v>121</v>
      </c>
      <c r="G205" s="65">
        <v>45352</v>
      </c>
      <c r="H205">
        <v>1814</v>
      </c>
      <c r="I205">
        <v>0</v>
      </c>
      <c r="J205" s="198" t="s">
        <v>0</v>
      </c>
      <c r="K205">
        <v>1802</v>
      </c>
      <c r="L205">
        <v>1826</v>
      </c>
      <c r="M205">
        <v>1810</v>
      </c>
      <c r="N205">
        <v>100.2</v>
      </c>
      <c r="O205" s="198" t="s">
        <v>27</v>
      </c>
      <c r="P205">
        <v>1809</v>
      </c>
      <c r="Q205">
        <v>0</v>
      </c>
      <c r="R205" s="91"/>
    </row>
    <row r="206" spans="1:18" x14ac:dyDescent="0.25">
      <c r="A206" s="90" t="str">
        <f t="shared" si="3"/>
        <v>TasmaniaCommencements45444Initial</v>
      </c>
      <c r="B206" s="199">
        <v>205</v>
      </c>
      <c r="C206" s="198" t="s">
        <v>7</v>
      </c>
      <c r="D206" s="198" t="s">
        <v>73</v>
      </c>
      <c r="E206">
        <v>2024.4</v>
      </c>
      <c r="F206">
        <v>121</v>
      </c>
      <c r="G206" s="65">
        <v>45444</v>
      </c>
      <c r="H206">
        <v>1344</v>
      </c>
      <c r="I206">
        <v>0</v>
      </c>
      <c r="J206" s="198" t="s">
        <v>30</v>
      </c>
      <c r="K206">
        <v>1271</v>
      </c>
      <c r="L206">
        <v>1417</v>
      </c>
      <c r="M206">
        <v>1315</v>
      </c>
      <c r="N206">
        <v>102.2</v>
      </c>
      <c r="O206" s="198" t="s">
        <v>27</v>
      </c>
      <c r="P206">
        <v>1314</v>
      </c>
      <c r="Q206">
        <v>0</v>
      </c>
      <c r="R206" s="91"/>
    </row>
    <row r="207" spans="1:18" x14ac:dyDescent="0.25">
      <c r="A207" s="90" t="str">
        <f t="shared" si="3"/>
        <v>TasmaniaCommencements454441st revision</v>
      </c>
      <c r="B207" s="199">
        <v>206</v>
      </c>
      <c r="C207" s="198" t="s">
        <v>7</v>
      </c>
      <c r="D207" s="198" t="s">
        <v>73</v>
      </c>
      <c r="E207">
        <v>2024.4</v>
      </c>
      <c r="F207">
        <v>122</v>
      </c>
      <c r="G207" s="65">
        <v>45444</v>
      </c>
      <c r="H207">
        <v>1319</v>
      </c>
      <c r="I207">
        <v>0</v>
      </c>
      <c r="J207" s="198" t="s">
        <v>0</v>
      </c>
      <c r="K207">
        <v>1311</v>
      </c>
      <c r="L207">
        <v>1327</v>
      </c>
      <c r="M207">
        <v>1315</v>
      </c>
      <c r="N207">
        <v>100.3</v>
      </c>
      <c r="O207" s="198" t="s">
        <v>27</v>
      </c>
      <c r="P207">
        <v>1315</v>
      </c>
      <c r="Q207">
        <v>0</v>
      </c>
      <c r="R207" s="91"/>
    </row>
    <row r="208" spans="1:18" x14ac:dyDescent="0.25">
      <c r="A208" s="90" t="str">
        <f t="shared" si="3"/>
        <v>TasmaniaCommencements45536Initial</v>
      </c>
      <c r="B208" s="199">
        <v>207</v>
      </c>
      <c r="C208" s="198" t="s">
        <v>7</v>
      </c>
      <c r="D208" s="198" t="s">
        <v>73</v>
      </c>
      <c r="E208">
        <v>2025.1</v>
      </c>
      <c r="F208">
        <v>122</v>
      </c>
      <c r="G208" s="65">
        <v>45536</v>
      </c>
      <c r="H208">
        <v>827</v>
      </c>
      <c r="I208">
        <v>0</v>
      </c>
      <c r="J208" s="198" t="s">
        <v>30</v>
      </c>
      <c r="K208">
        <v>782</v>
      </c>
      <c r="L208">
        <v>872</v>
      </c>
      <c r="M208">
        <v>810</v>
      </c>
      <c r="N208">
        <v>102.1</v>
      </c>
      <c r="O208" s="198" t="s">
        <v>27</v>
      </c>
      <c r="P208">
        <v>809</v>
      </c>
      <c r="Q208">
        <v>0</v>
      </c>
      <c r="R208" s="91"/>
    </row>
    <row r="209" spans="1:18" x14ac:dyDescent="0.25">
      <c r="A209" s="90" t="str">
        <f t="shared" si="3"/>
        <v>TasmaniaCommencements455361st revision</v>
      </c>
      <c r="B209" s="199">
        <v>208</v>
      </c>
      <c r="C209" s="198" t="s">
        <v>7</v>
      </c>
      <c r="D209" s="198" t="s">
        <v>73</v>
      </c>
      <c r="E209">
        <v>2025.1</v>
      </c>
      <c r="F209">
        <v>123</v>
      </c>
      <c r="G209" s="65">
        <v>45536</v>
      </c>
      <c r="H209">
        <v>811</v>
      </c>
      <c r="I209">
        <v>0</v>
      </c>
      <c r="J209" s="198" t="s">
        <v>0</v>
      </c>
      <c r="K209">
        <v>807</v>
      </c>
      <c r="L209">
        <v>815</v>
      </c>
      <c r="M209">
        <v>810</v>
      </c>
      <c r="N209">
        <v>100.1</v>
      </c>
      <c r="O209" s="198" t="s">
        <v>27</v>
      </c>
      <c r="P209">
        <v>809</v>
      </c>
      <c r="Q209">
        <v>0</v>
      </c>
      <c r="R209" s="91"/>
    </row>
    <row r="210" spans="1:18" x14ac:dyDescent="0.25">
      <c r="A210" s="90" t="str">
        <f t="shared" si="3"/>
        <v>TasmaniaCompletions45261Initial</v>
      </c>
      <c r="B210" s="199">
        <v>209</v>
      </c>
      <c r="C210" s="198" t="s">
        <v>7</v>
      </c>
      <c r="D210" s="198" t="s">
        <v>74</v>
      </c>
      <c r="E210">
        <v>2024.2</v>
      </c>
      <c r="F210">
        <v>119</v>
      </c>
      <c r="G210" s="65">
        <v>45261</v>
      </c>
      <c r="H210">
        <v>1172</v>
      </c>
      <c r="I210">
        <v>0</v>
      </c>
      <c r="J210" s="198" t="s">
        <v>30</v>
      </c>
      <c r="K210">
        <v>1154</v>
      </c>
      <c r="L210">
        <v>1190</v>
      </c>
      <c r="M210">
        <v>1159</v>
      </c>
      <c r="N210">
        <v>101.1</v>
      </c>
      <c r="O210" s="198" t="s">
        <v>27</v>
      </c>
      <c r="P210">
        <v>1150</v>
      </c>
      <c r="Q210">
        <v>0</v>
      </c>
      <c r="R210" s="91"/>
    </row>
    <row r="211" spans="1:18" x14ac:dyDescent="0.25">
      <c r="A211" s="90" t="str">
        <f t="shared" si="3"/>
        <v>TasmaniaCompletions452611st revision</v>
      </c>
      <c r="B211" s="199">
        <v>210</v>
      </c>
      <c r="C211" s="198" t="s">
        <v>7</v>
      </c>
      <c r="D211" s="198" t="s">
        <v>74</v>
      </c>
      <c r="E211">
        <v>2024.2</v>
      </c>
      <c r="F211">
        <v>120</v>
      </c>
      <c r="G211" s="65">
        <v>45261</v>
      </c>
      <c r="H211">
        <v>1167</v>
      </c>
      <c r="I211">
        <v>0</v>
      </c>
      <c r="J211" s="198" t="s">
        <v>0</v>
      </c>
      <c r="K211">
        <v>1154</v>
      </c>
      <c r="L211">
        <v>1180</v>
      </c>
      <c r="M211">
        <v>1159</v>
      </c>
      <c r="N211">
        <v>100.7</v>
      </c>
      <c r="O211" s="198" t="s">
        <v>27</v>
      </c>
      <c r="P211">
        <v>1158</v>
      </c>
      <c r="Q211">
        <v>0</v>
      </c>
      <c r="R211" s="91"/>
    </row>
    <row r="212" spans="1:18" x14ac:dyDescent="0.25">
      <c r="A212" s="90" t="str">
        <f t="shared" si="3"/>
        <v>TasmaniaCompletions45352Initial</v>
      </c>
      <c r="B212" s="199">
        <v>211</v>
      </c>
      <c r="C212" s="198" t="s">
        <v>7</v>
      </c>
      <c r="D212" s="198" t="s">
        <v>74</v>
      </c>
      <c r="E212">
        <v>2024.3</v>
      </c>
      <c r="F212">
        <v>120</v>
      </c>
      <c r="G212" s="65">
        <v>45352</v>
      </c>
      <c r="H212">
        <v>644</v>
      </c>
      <c r="I212">
        <v>0</v>
      </c>
      <c r="J212" s="198" t="s">
        <v>30</v>
      </c>
      <c r="K212">
        <v>632</v>
      </c>
      <c r="L212">
        <v>656</v>
      </c>
      <c r="M212">
        <v>637</v>
      </c>
      <c r="N212">
        <v>101.1</v>
      </c>
      <c r="O212" s="198" t="s">
        <v>27</v>
      </c>
      <c r="P212">
        <v>633</v>
      </c>
      <c r="Q212">
        <v>0</v>
      </c>
      <c r="R212" s="91"/>
    </row>
    <row r="213" spans="1:18" x14ac:dyDescent="0.25">
      <c r="A213" s="90" t="str">
        <f t="shared" si="3"/>
        <v>TasmaniaCompletions453521st revision</v>
      </c>
      <c r="B213" s="199">
        <v>212</v>
      </c>
      <c r="C213" s="198" t="s">
        <v>7</v>
      </c>
      <c r="D213" s="198" t="s">
        <v>74</v>
      </c>
      <c r="E213">
        <v>2024.3</v>
      </c>
      <c r="F213">
        <v>121</v>
      </c>
      <c r="G213" s="65">
        <v>45352</v>
      </c>
      <c r="H213">
        <v>641</v>
      </c>
      <c r="I213">
        <v>0</v>
      </c>
      <c r="J213" s="198" t="s">
        <v>0</v>
      </c>
      <c r="K213">
        <v>633</v>
      </c>
      <c r="L213">
        <v>649</v>
      </c>
      <c r="M213">
        <v>637</v>
      </c>
      <c r="N213">
        <v>100.6</v>
      </c>
      <c r="O213" s="198" t="s">
        <v>27</v>
      </c>
      <c r="P213">
        <v>636</v>
      </c>
      <c r="Q213">
        <v>0</v>
      </c>
      <c r="R213" s="91"/>
    </row>
    <row r="214" spans="1:18" x14ac:dyDescent="0.25">
      <c r="A214" s="90" t="str">
        <f t="shared" si="3"/>
        <v>TasmaniaCompletions45444Initial</v>
      </c>
      <c r="B214" s="199">
        <v>213</v>
      </c>
      <c r="C214" s="198" t="s">
        <v>7</v>
      </c>
      <c r="D214" s="198" t="s">
        <v>74</v>
      </c>
      <c r="E214">
        <v>2024.4</v>
      </c>
      <c r="F214">
        <v>121</v>
      </c>
      <c r="G214" s="65">
        <v>45444</v>
      </c>
      <c r="H214">
        <v>762</v>
      </c>
      <c r="I214">
        <v>0</v>
      </c>
      <c r="J214" s="198" t="s">
        <v>30</v>
      </c>
      <c r="K214">
        <v>749</v>
      </c>
      <c r="L214">
        <v>775</v>
      </c>
      <c r="M214">
        <v>751</v>
      </c>
      <c r="N214">
        <v>101.5</v>
      </c>
      <c r="O214" s="198" t="s">
        <v>27</v>
      </c>
      <c r="P214">
        <v>750</v>
      </c>
      <c r="Q214">
        <v>0</v>
      </c>
      <c r="R214" s="91"/>
    </row>
    <row r="215" spans="1:18" x14ac:dyDescent="0.25">
      <c r="A215" s="90" t="str">
        <f t="shared" si="3"/>
        <v>TasmaniaCompletions454441st revision</v>
      </c>
      <c r="B215" s="199">
        <v>214</v>
      </c>
      <c r="C215" s="198" t="s">
        <v>7</v>
      </c>
      <c r="D215" s="198" t="s">
        <v>74</v>
      </c>
      <c r="E215">
        <v>2024.4</v>
      </c>
      <c r="F215">
        <v>122</v>
      </c>
      <c r="G215" s="65">
        <v>45444</v>
      </c>
      <c r="H215">
        <v>756</v>
      </c>
      <c r="I215">
        <v>0</v>
      </c>
      <c r="J215" s="198" t="s">
        <v>0</v>
      </c>
      <c r="K215">
        <v>746</v>
      </c>
      <c r="L215">
        <v>766</v>
      </c>
      <c r="M215">
        <v>751</v>
      </c>
      <c r="N215">
        <v>100.7</v>
      </c>
      <c r="O215" s="198" t="s">
        <v>27</v>
      </c>
      <c r="P215">
        <v>751</v>
      </c>
      <c r="Q215">
        <v>0</v>
      </c>
      <c r="R215" s="91"/>
    </row>
    <row r="216" spans="1:18" x14ac:dyDescent="0.25">
      <c r="A216" s="90" t="str">
        <f t="shared" si="3"/>
        <v>TasmaniaCompletions45536Initial</v>
      </c>
      <c r="B216" s="199">
        <v>215</v>
      </c>
      <c r="C216" s="198" t="s">
        <v>7</v>
      </c>
      <c r="D216" s="198" t="s">
        <v>74</v>
      </c>
      <c r="E216">
        <v>2025.1</v>
      </c>
      <c r="F216">
        <v>122</v>
      </c>
      <c r="G216" s="65">
        <v>45536</v>
      </c>
      <c r="H216">
        <v>777</v>
      </c>
      <c r="I216">
        <v>0</v>
      </c>
      <c r="J216" s="198" t="s">
        <v>30</v>
      </c>
      <c r="K216">
        <v>762</v>
      </c>
      <c r="L216">
        <v>792</v>
      </c>
      <c r="M216">
        <v>768</v>
      </c>
      <c r="N216">
        <v>101.2</v>
      </c>
      <c r="O216" s="198" t="s">
        <v>27</v>
      </c>
      <c r="P216">
        <v>766</v>
      </c>
      <c r="Q216">
        <v>0</v>
      </c>
      <c r="R216" s="91"/>
    </row>
    <row r="217" spans="1:18" x14ac:dyDescent="0.25">
      <c r="A217" s="90" t="str">
        <f t="shared" si="3"/>
        <v>TasmaniaCompletions455361st revision</v>
      </c>
      <c r="B217" s="199">
        <v>216</v>
      </c>
      <c r="C217" s="198" t="s">
        <v>7</v>
      </c>
      <c r="D217" s="198" t="s">
        <v>74</v>
      </c>
      <c r="E217">
        <v>2025.1</v>
      </c>
      <c r="F217">
        <v>123</v>
      </c>
      <c r="G217" s="65">
        <v>45536</v>
      </c>
      <c r="H217">
        <v>773</v>
      </c>
      <c r="I217">
        <v>0</v>
      </c>
      <c r="J217" s="198" t="s">
        <v>0</v>
      </c>
      <c r="K217">
        <v>763</v>
      </c>
      <c r="L217">
        <v>783</v>
      </c>
      <c r="M217">
        <v>768</v>
      </c>
      <c r="N217">
        <v>100.7</v>
      </c>
      <c r="O217" s="198" t="s">
        <v>27</v>
      </c>
      <c r="P217">
        <v>768</v>
      </c>
      <c r="Q217">
        <v>0</v>
      </c>
      <c r="R217" s="91"/>
    </row>
    <row r="218" spans="1:18" x14ac:dyDescent="0.25">
      <c r="A218" s="90" t="str">
        <f t="shared" si="3"/>
        <v>TasmaniaIn-training44896Initial</v>
      </c>
      <c r="B218" s="199">
        <v>217</v>
      </c>
      <c r="C218" s="198" t="s">
        <v>7</v>
      </c>
      <c r="D218" s="198" t="s">
        <v>75</v>
      </c>
      <c r="E218">
        <v>2023.2</v>
      </c>
      <c r="F218">
        <v>115</v>
      </c>
      <c r="G218" s="65">
        <v>44896</v>
      </c>
      <c r="H218">
        <v>10652</v>
      </c>
      <c r="I218">
        <v>0</v>
      </c>
      <c r="J218" s="198" t="s">
        <v>30</v>
      </c>
      <c r="K218">
        <v>10378</v>
      </c>
      <c r="L218">
        <v>10926</v>
      </c>
      <c r="M218">
        <v>11536</v>
      </c>
      <c r="N218">
        <v>92.3</v>
      </c>
      <c r="O218" s="198" t="s">
        <v>26</v>
      </c>
      <c r="P218">
        <v>11667</v>
      </c>
      <c r="Q218">
        <v>0</v>
      </c>
      <c r="R218" s="91"/>
    </row>
    <row r="219" spans="1:18" x14ac:dyDescent="0.25">
      <c r="A219" s="90" t="str">
        <f t="shared" si="3"/>
        <v>TasmaniaIn-training448961st revision</v>
      </c>
      <c r="B219" s="199">
        <v>218</v>
      </c>
      <c r="C219" s="198" t="s">
        <v>7</v>
      </c>
      <c r="D219" s="198" t="s">
        <v>75</v>
      </c>
      <c r="E219">
        <v>2023.2</v>
      </c>
      <c r="F219">
        <v>116</v>
      </c>
      <c r="G219" s="65">
        <v>44896</v>
      </c>
      <c r="H219">
        <v>10784</v>
      </c>
      <c r="I219">
        <v>0</v>
      </c>
      <c r="J219" s="198" t="s">
        <v>0</v>
      </c>
      <c r="K219">
        <v>10644</v>
      </c>
      <c r="L219">
        <v>10924</v>
      </c>
      <c r="M219">
        <v>11536</v>
      </c>
      <c r="N219">
        <v>93.5</v>
      </c>
      <c r="O219" s="198" t="s">
        <v>26</v>
      </c>
      <c r="P219">
        <v>11566</v>
      </c>
      <c r="Q219">
        <v>0</v>
      </c>
      <c r="R219" s="91"/>
    </row>
    <row r="220" spans="1:18" x14ac:dyDescent="0.25">
      <c r="A220" s="90" t="str">
        <f t="shared" si="3"/>
        <v>TasmaniaIn-training44986Initial</v>
      </c>
      <c r="B220" s="199">
        <v>219</v>
      </c>
      <c r="C220" s="198" t="s">
        <v>7</v>
      </c>
      <c r="D220" s="198" t="s">
        <v>75</v>
      </c>
      <c r="E220">
        <v>2023.3</v>
      </c>
      <c r="F220">
        <v>116</v>
      </c>
      <c r="G220" s="65">
        <v>44986</v>
      </c>
      <c r="H220">
        <v>10828</v>
      </c>
      <c r="I220">
        <v>0</v>
      </c>
      <c r="J220" s="198" t="s">
        <v>30</v>
      </c>
      <c r="K220">
        <v>10564</v>
      </c>
      <c r="L220">
        <v>11092</v>
      </c>
      <c r="M220">
        <v>11815</v>
      </c>
      <c r="N220">
        <v>91.6</v>
      </c>
      <c r="O220" s="198" t="s">
        <v>26</v>
      </c>
      <c r="P220">
        <v>11863</v>
      </c>
      <c r="Q220">
        <v>0</v>
      </c>
      <c r="R220" s="91"/>
    </row>
    <row r="221" spans="1:18" x14ac:dyDescent="0.25">
      <c r="A221" s="90" t="str">
        <f t="shared" si="3"/>
        <v>TasmaniaIn-training449861st revision</v>
      </c>
      <c r="B221" s="199">
        <v>220</v>
      </c>
      <c r="C221" s="198" t="s">
        <v>7</v>
      </c>
      <c r="D221" s="198" t="s">
        <v>75</v>
      </c>
      <c r="E221">
        <v>2023.3</v>
      </c>
      <c r="F221">
        <v>117</v>
      </c>
      <c r="G221" s="65">
        <v>44986</v>
      </c>
      <c r="H221">
        <v>11045</v>
      </c>
      <c r="I221">
        <v>0</v>
      </c>
      <c r="J221" s="198" t="s">
        <v>0</v>
      </c>
      <c r="K221">
        <v>10921</v>
      </c>
      <c r="L221">
        <v>11169</v>
      </c>
      <c r="M221">
        <v>11815</v>
      </c>
      <c r="N221">
        <v>93.5</v>
      </c>
      <c r="O221" s="198" t="s">
        <v>26</v>
      </c>
      <c r="P221">
        <v>11812</v>
      </c>
      <c r="Q221">
        <v>0</v>
      </c>
      <c r="R221" s="91"/>
    </row>
    <row r="222" spans="1:18" x14ac:dyDescent="0.25">
      <c r="A222" s="90" t="str">
        <f t="shared" si="3"/>
        <v>TasmaniaIn-training45078Initial</v>
      </c>
      <c r="B222" s="199">
        <v>221</v>
      </c>
      <c r="C222" s="198" t="s">
        <v>7</v>
      </c>
      <c r="D222" s="198" t="s">
        <v>75</v>
      </c>
      <c r="E222">
        <v>2023.4</v>
      </c>
      <c r="F222">
        <v>117</v>
      </c>
      <c r="G222" s="65">
        <v>45078</v>
      </c>
      <c r="H222">
        <v>10373</v>
      </c>
      <c r="I222">
        <v>0</v>
      </c>
      <c r="J222" s="198" t="s">
        <v>30</v>
      </c>
      <c r="K222">
        <v>10171</v>
      </c>
      <c r="L222">
        <v>10575</v>
      </c>
      <c r="M222">
        <v>11436</v>
      </c>
      <c r="N222">
        <v>90.7</v>
      </c>
      <c r="O222" s="198" t="s">
        <v>26</v>
      </c>
      <c r="P222">
        <v>11424</v>
      </c>
      <c r="Q222">
        <v>0</v>
      </c>
      <c r="R222" s="91"/>
    </row>
    <row r="223" spans="1:18" x14ac:dyDescent="0.25">
      <c r="A223" s="90" t="str">
        <f t="shared" si="3"/>
        <v>TasmaniaIn-training450781st revision</v>
      </c>
      <c r="B223" s="199">
        <v>222</v>
      </c>
      <c r="C223" s="198" t="s">
        <v>7</v>
      </c>
      <c r="D223" s="198" t="s">
        <v>75</v>
      </c>
      <c r="E223">
        <v>2023.4</v>
      </c>
      <c r="F223">
        <v>118</v>
      </c>
      <c r="G223" s="65">
        <v>45078</v>
      </c>
      <c r="H223">
        <v>10658</v>
      </c>
      <c r="I223">
        <v>0</v>
      </c>
      <c r="J223" s="198" t="s">
        <v>0</v>
      </c>
      <c r="K223">
        <v>10534</v>
      </c>
      <c r="L223">
        <v>10782</v>
      </c>
      <c r="M223">
        <v>11436</v>
      </c>
      <c r="N223">
        <v>93.2</v>
      </c>
      <c r="O223" s="198" t="s">
        <v>26</v>
      </c>
      <c r="P223">
        <v>11548</v>
      </c>
      <c r="Q223">
        <v>0</v>
      </c>
      <c r="R223" s="91"/>
    </row>
    <row r="224" spans="1:18" x14ac:dyDescent="0.25">
      <c r="A224" s="90" t="str">
        <f t="shared" si="3"/>
        <v>TasmaniaIn-training45170Initial</v>
      </c>
      <c r="B224" s="199">
        <v>223</v>
      </c>
      <c r="C224" s="198" t="s">
        <v>7</v>
      </c>
      <c r="D224" s="198" t="s">
        <v>75</v>
      </c>
      <c r="E224">
        <v>2024.1</v>
      </c>
      <c r="F224">
        <v>118</v>
      </c>
      <c r="G224" s="65">
        <v>45170</v>
      </c>
      <c r="H224">
        <v>10074</v>
      </c>
      <c r="I224">
        <v>0</v>
      </c>
      <c r="J224" s="198" t="s">
        <v>30</v>
      </c>
      <c r="K224">
        <v>9882</v>
      </c>
      <c r="L224">
        <v>10266</v>
      </c>
      <c r="M224">
        <v>11025</v>
      </c>
      <c r="N224">
        <v>91.4</v>
      </c>
      <c r="O224" s="198" t="s">
        <v>26</v>
      </c>
      <c r="P224">
        <v>11196</v>
      </c>
      <c r="Q224">
        <v>0</v>
      </c>
      <c r="R224" s="91"/>
    </row>
    <row r="225" spans="1:18" x14ac:dyDescent="0.25">
      <c r="A225" s="90" t="str">
        <f t="shared" si="3"/>
        <v>TasmaniaIn-training451701st revision</v>
      </c>
      <c r="B225" s="199">
        <v>224</v>
      </c>
      <c r="C225" s="198" t="s">
        <v>7</v>
      </c>
      <c r="D225" s="198" t="s">
        <v>75</v>
      </c>
      <c r="E225">
        <v>2024.1</v>
      </c>
      <c r="F225">
        <v>119</v>
      </c>
      <c r="G225" s="65">
        <v>45170</v>
      </c>
      <c r="H225">
        <v>10282</v>
      </c>
      <c r="I225">
        <v>0</v>
      </c>
      <c r="J225" s="198" t="s">
        <v>0</v>
      </c>
      <c r="K225">
        <v>10167</v>
      </c>
      <c r="L225">
        <v>10397</v>
      </c>
      <c r="M225">
        <v>11025</v>
      </c>
      <c r="N225">
        <v>93.3</v>
      </c>
      <c r="O225" s="198" t="s">
        <v>26</v>
      </c>
      <c r="P225">
        <v>11120</v>
      </c>
      <c r="Q225">
        <v>0</v>
      </c>
      <c r="R225" s="91"/>
    </row>
    <row r="226" spans="1:18" x14ac:dyDescent="0.25">
      <c r="A226" s="90" t="str">
        <f t="shared" si="3"/>
        <v>VictoriaCancellations/withdrawals44896Initial</v>
      </c>
      <c r="B226" s="199">
        <v>225</v>
      </c>
      <c r="C226" s="198" t="s">
        <v>8</v>
      </c>
      <c r="D226" s="198" t="s">
        <v>72</v>
      </c>
      <c r="E226">
        <v>2023.2</v>
      </c>
      <c r="F226">
        <v>115</v>
      </c>
      <c r="G226" s="65">
        <v>44896</v>
      </c>
      <c r="H226">
        <v>6913</v>
      </c>
      <c r="I226">
        <v>0</v>
      </c>
      <c r="J226" s="198" t="s">
        <v>30</v>
      </c>
      <c r="K226">
        <v>5253</v>
      </c>
      <c r="L226">
        <v>8573</v>
      </c>
      <c r="M226">
        <v>7007</v>
      </c>
      <c r="N226">
        <v>98.7</v>
      </c>
      <c r="O226" s="198" t="s">
        <v>27</v>
      </c>
      <c r="P226">
        <v>5152</v>
      </c>
      <c r="Q226">
        <v>0</v>
      </c>
      <c r="R226" s="91"/>
    </row>
    <row r="227" spans="1:18" x14ac:dyDescent="0.25">
      <c r="A227" s="90" t="str">
        <f t="shared" si="3"/>
        <v>VictoriaCancellations/withdrawals448961st revision</v>
      </c>
      <c r="B227" s="199">
        <v>226</v>
      </c>
      <c r="C227" s="198" t="s">
        <v>8</v>
      </c>
      <c r="D227" s="198" t="s">
        <v>72</v>
      </c>
      <c r="E227">
        <v>2023.2</v>
      </c>
      <c r="F227">
        <v>116</v>
      </c>
      <c r="G227" s="65">
        <v>44896</v>
      </c>
      <c r="H227">
        <v>7138</v>
      </c>
      <c r="I227">
        <v>0</v>
      </c>
      <c r="J227" s="198" t="s">
        <v>0</v>
      </c>
      <c r="K227">
        <v>6350</v>
      </c>
      <c r="L227">
        <v>7926</v>
      </c>
      <c r="M227">
        <v>7007</v>
      </c>
      <c r="N227">
        <v>101.9</v>
      </c>
      <c r="O227" s="198" t="s">
        <v>27</v>
      </c>
      <c r="P227">
        <v>6059</v>
      </c>
      <c r="Q227">
        <v>0</v>
      </c>
      <c r="R227" s="91"/>
    </row>
    <row r="228" spans="1:18" x14ac:dyDescent="0.25">
      <c r="A228" s="90" t="str">
        <f t="shared" si="3"/>
        <v>VictoriaCancellations/withdrawals44986Initial</v>
      </c>
      <c r="B228" s="199">
        <v>227</v>
      </c>
      <c r="C228" s="198" t="s">
        <v>8</v>
      </c>
      <c r="D228" s="198" t="s">
        <v>72</v>
      </c>
      <c r="E228">
        <v>2023.3</v>
      </c>
      <c r="F228">
        <v>116</v>
      </c>
      <c r="G228" s="65">
        <v>44986</v>
      </c>
      <c r="H228">
        <v>7370.2396938000002</v>
      </c>
      <c r="I228">
        <v>7072</v>
      </c>
      <c r="J228" s="198" t="s">
        <v>30</v>
      </c>
      <c r="K228">
        <v>5702</v>
      </c>
      <c r="L228">
        <v>9039</v>
      </c>
      <c r="M228">
        <v>6595</v>
      </c>
      <c r="N228">
        <v>111.8</v>
      </c>
      <c r="O228" s="198" t="s">
        <v>27</v>
      </c>
      <c r="P228">
        <v>5119</v>
      </c>
      <c r="Q228">
        <v>107.2</v>
      </c>
      <c r="R228" s="91"/>
    </row>
    <row r="229" spans="1:18" x14ac:dyDescent="0.25">
      <c r="A229" s="90" t="str">
        <f t="shared" si="3"/>
        <v>VictoriaCancellations/withdrawals449861st revision</v>
      </c>
      <c r="B229" s="199">
        <v>228</v>
      </c>
      <c r="C229" s="198" t="s">
        <v>8</v>
      </c>
      <c r="D229" s="198" t="s">
        <v>72</v>
      </c>
      <c r="E229">
        <v>2023.3</v>
      </c>
      <c r="F229">
        <v>117</v>
      </c>
      <c r="G229" s="65">
        <v>44986</v>
      </c>
      <c r="H229">
        <v>6886</v>
      </c>
      <c r="I229">
        <v>0</v>
      </c>
      <c r="J229" s="198" t="s">
        <v>0</v>
      </c>
      <c r="K229">
        <v>6287</v>
      </c>
      <c r="L229">
        <v>7485</v>
      </c>
      <c r="M229">
        <v>6595</v>
      </c>
      <c r="N229">
        <v>104.4</v>
      </c>
      <c r="O229" s="198" t="s">
        <v>27</v>
      </c>
      <c r="P229">
        <v>5768</v>
      </c>
      <c r="Q229">
        <v>0</v>
      </c>
      <c r="R229" s="91"/>
    </row>
    <row r="230" spans="1:18" x14ac:dyDescent="0.25">
      <c r="A230" s="90" t="str">
        <f t="shared" si="3"/>
        <v>VictoriaCancellations/withdrawals45078Initial</v>
      </c>
      <c r="B230" s="199">
        <v>229</v>
      </c>
      <c r="C230" s="198" t="s">
        <v>8</v>
      </c>
      <c r="D230" s="198" t="s">
        <v>72</v>
      </c>
      <c r="E230">
        <v>2023.4</v>
      </c>
      <c r="F230">
        <v>117</v>
      </c>
      <c r="G230" s="65">
        <v>45078</v>
      </c>
      <c r="H230">
        <v>7462</v>
      </c>
      <c r="I230">
        <v>0</v>
      </c>
      <c r="J230" s="198" t="s">
        <v>30</v>
      </c>
      <c r="K230">
        <v>5970</v>
      </c>
      <c r="L230">
        <v>8954</v>
      </c>
      <c r="M230">
        <v>6568</v>
      </c>
      <c r="N230">
        <v>113.6</v>
      </c>
      <c r="O230" s="198" t="s">
        <v>27</v>
      </c>
      <c r="P230">
        <v>5292</v>
      </c>
      <c r="Q230">
        <v>0</v>
      </c>
      <c r="R230" s="91"/>
    </row>
    <row r="231" spans="1:18" x14ac:dyDescent="0.25">
      <c r="A231" s="90" t="str">
        <f t="shared" si="3"/>
        <v>VictoriaCancellations/withdrawals450781st revision</v>
      </c>
      <c r="B231" s="199">
        <v>230</v>
      </c>
      <c r="C231" s="198" t="s">
        <v>8</v>
      </c>
      <c r="D231" s="198" t="s">
        <v>72</v>
      </c>
      <c r="E231">
        <v>2023.4</v>
      </c>
      <c r="F231">
        <v>118</v>
      </c>
      <c r="G231" s="65">
        <v>45078</v>
      </c>
      <c r="H231">
        <v>7031</v>
      </c>
      <c r="I231">
        <v>0</v>
      </c>
      <c r="J231" s="198" t="s">
        <v>0</v>
      </c>
      <c r="K231">
        <v>6618</v>
      </c>
      <c r="L231">
        <v>7444</v>
      </c>
      <c r="M231">
        <v>6568</v>
      </c>
      <c r="N231">
        <v>107</v>
      </c>
      <c r="O231" s="198" t="s">
        <v>27</v>
      </c>
      <c r="P231">
        <v>5807</v>
      </c>
      <c r="Q231">
        <v>0</v>
      </c>
      <c r="R231" s="91"/>
    </row>
    <row r="232" spans="1:18" x14ac:dyDescent="0.25">
      <c r="A232" s="90" t="str">
        <f t="shared" si="3"/>
        <v>VictoriaCancellations/withdrawals45170Initial</v>
      </c>
      <c r="B232" s="199">
        <v>231</v>
      </c>
      <c r="C232" s="198" t="s">
        <v>8</v>
      </c>
      <c r="D232" s="198" t="s">
        <v>72</v>
      </c>
      <c r="E232">
        <v>2024.1</v>
      </c>
      <c r="F232">
        <v>118</v>
      </c>
      <c r="G232" s="65">
        <v>45170</v>
      </c>
      <c r="H232">
        <v>6815</v>
      </c>
      <c r="I232">
        <v>0</v>
      </c>
      <c r="J232" s="198" t="s">
        <v>30</v>
      </c>
      <c r="K232">
        <v>5844</v>
      </c>
      <c r="L232">
        <v>7786</v>
      </c>
      <c r="M232">
        <v>5966</v>
      </c>
      <c r="N232">
        <v>114.2</v>
      </c>
      <c r="O232" s="198" t="s">
        <v>27</v>
      </c>
      <c r="P232">
        <v>4736</v>
      </c>
      <c r="Q232">
        <v>0</v>
      </c>
      <c r="R232" s="91"/>
    </row>
    <row r="233" spans="1:18" x14ac:dyDescent="0.25">
      <c r="A233" s="90" t="str">
        <f t="shared" si="3"/>
        <v>VictoriaCancellations/withdrawals451701st revision</v>
      </c>
      <c r="B233" s="199">
        <v>232</v>
      </c>
      <c r="C233" s="198" t="s">
        <v>8</v>
      </c>
      <c r="D233" s="198" t="s">
        <v>72</v>
      </c>
      <c r="E233">
        <v>2024.1</v>
      </c>
      <c r="F233">
        <v>119</v>
      </c>
      <c r="G233" s="65">
        <v>45170</v>
      </c>
      <c r="H233">
        <v>6383</v>
      </c>
      <c r="I233">
        <v>0</v>
      </c>
      <c r="J233" s="198" t="s">
        <v>0</v>
      </c>
      <c r="K233">
        <v>6005</v>
      </c>
      <c r="L233">
        <v>6761</v>
      </c>
      <c r="M233">
        <v>5966</v>
      </c>
      <c r="N233">
        <v>107</v>
      </c>
      <c r="O233" s="198" t="s">
        <v>27</v>
      </c>
      <c r="P233">
        <v>5252</v>
      </c>
      <c r="Q233">
        <v>0</v>
      </c>
      <c r="R233" s="91"/>
    </row>
    <row r="234" spans="1:18" x14ac:dyDescent="0.25">
      <c r="A234" s="90" t="str">
        <f t="shared" si="3"/>
        <v>VictoriaCommencements45261Initial</v>
      </c>
      <c r="B234" s="199">
        <v>233</v>
      </c>
      <c r="C234" s="198" t="s">
        <v>8</v>
      </c>
      <c r="D234" s="198" t="s">
        <v>73</v>
      </c>
      <c r="E234">
        <v>2024.2</v>
      </c>
      <c r="F234">
        <v>119</v>
      </c>
      <c r="G234" s="65">
        <v>45261</v>
      </c>
      <c r="H234">
        <v>7207</v>
      </c>
      <c r="I234">
        <v>0</v>
      </c>
      <c r="J234" s="198" t="s">
        <v>30</v>
      </c>
      <c r="K234">
        <v>6304</v>
      </c>
      <c r="L234">
        <v>8110</v>
      </c>
      <c r="M234">
        <v>6863</v>
      </c>
      <c r="N234">
        <v>105</v>
      </c>
      <c r="O234" s="198" t="s">
        <v>27</v>
      </c>
      <c r="P234">
        <v>6822</v>
      </c>
      <c r="Q234">
        <v>0</v>
      </c>
      <c r="R234" s="91"/>
    </row>
    <row r="235" spans="1:18" x14ac:dyDescent="0.25">
      <c r="A235" s="90" t="str">
        <f t="shared" si="3"/>
        <v>VictoriaCommencements452611st revision</v>
      </c>
      <c r="B235" s="199">
        <v>234</v>
      </c>
      <c r="C235" s="198" t="s">
        <v>8</v>
      </c>
      <c r="D235" s="198" t="s">
        <v>73</v>
      </c>
      <c r="E235">
        <v>2024.2</v>
      </c>
      <c r="F235">
        <v>120</v>
      </c>
      <c r="G235" s="65">
        <v>45261</v>
      </c>
      <c r="H235">
        <v>6907</v>
      </c>
      <c r="I235">
        <v>0</v>
      </c>
      <c r="J235" s="198" t="s">
        <v>0</v>
      </c>
      <c r="K235">
        <v>6829</v>
      </c>
      <c r="L235">
        <v>6985</v>
      </c>
      <c r="M235">
        <v>6863</v>
      </c>
      <c r="N235">
        <v>100.6</v>
      </c>
      <c r="O235" s="198" t="s">
        <v>27</v>
      </c>
      <c r="P235">
        <v>6862</v>
      </c>
      <c r="Q235">
        <v>0</v>
      </c>
      <c r="R235" s="91"/>
    </row>
    <row r="236" spans="1:18" x14ac:dyDescent="0.25">
      <c r="A236" s="90" t="str">
        <f t="shared" si="3"/>
        <v>VictoriaCommencements45352Initial</v>
      </c>
      <c r="B236" s="199">
        <v>235</v>
      </c>
      <c r="C236" s="198" t="s">
        <v>8</v>
      </c>
      <c r="D236" s="198" t="s">
        <v>73</v>
      </c>
      <c r="E236">
        <v>2024.3</v>
      </c>
      <c r="F236">
        <v>120</v>
      </c>
      <c r="G236" s="65">
        <v>45352</v>
      </c>
      <c r="H236">
        <v>11498</v>
      </c>
      <c r="I236">
        <v>0</v>
      </c>
      <c r="J236" s="198" t="s">
        <v>30</v>
      </c>
      <c r="K236">
        <v>10007</v>
      </c>
      <c r="L236">
        <v>12989</v>
      </c>
      <c r="M236">
        <v>10967</v>
      </c>
      <c r="N236">
        <v>104.8</v>
      </c>
      <c r="O236" s="198" t="s">
        <v>27</v>
      </c>
      <c r="P236">
        <v>10907</v>
      </c>
      <c r="Q236">
        <v>0</v>
      </c>
      <c r="R236" s="91"/>
    </row>
    <row r="237" spans="1:18" x14ac:dyDescent="0.25">
      <c r="A237" s="90" t="str">
        <f t="shared" si="3"/>
        <v>VictoriaCommencements453521st revision</v>
      </c>
      <c r="B237" s="199">
        <v>236</v>
      </c>
      <c r="C237" s="198" t="s">
        <v>8</v>
      </c>
      <c r="D237" s="198" t="s">
        <v>73</v>
      </c>
      <c r="E237">
        <v>2024.3</v>
      </c>
      <c r="F237">
        <v>121</v>
      </c>
      <c r="G237" s="65">
        <v>45352</v>
      </c>
      <c r="H237">
        <v>11029</v>
      </c>
      <c r="I237">
        <v>0</v>
      </c>
      <c r="J237" s="198" t="s">
        <v>0</v>
      </c>
      <c r="K237">
        <v>10892</v>
      </c>
      <c r="L237">
        <v>11166</v>
      </c>
      <c r="M237">
        <v>10967</v>
      </c>
      <c r="N237">
        <v>100.6</v>
      </c>
      <c r="O237" s="198" t="s">
        <v>27</v>
      </c>
      <c r="P237">
        <v>10964</v>
      </c>
      <c r="Q237">
        <v>0</v>
      </c>
      <c r="R237" s="91"/>
    </row>
    <row r="238" spans="1:18" x14ac:dyDescent="0.25">
      <c r="A238" s="90" t="str">
        <f t="shared" si="3"/>
        <v>VictoriaCommencements45444Initial</v>
      </c>
      <c r="B238" s="199">
        <v>237</v>
      </c>
      <c r="C238" s="198" t="s">
        <v>8</v>
      </c>
      <c r="D238" s="198" t="s">
        <v>73</v>
      </c>
      <c r="E238">
        <v>2024.4</v>
      </c>
      <c r="F238">
        <v>121</v>
      </c>
      <c r="G238" s="65">
        <v>45444</v>
      </c>
      <c r="H238">
        <v>8144</v>
      </c>
      <c r="I238">
        <v>0</v>
      </c>
      <c r="J238" s="198" t="s">
        <v>30</v>
      </c>
      <c r="K238">
        <v>7052</v>
      </c>
      <c r="L238">
        <v>9236</v>
      </c>
      <c r="M238">
        <v>7830</v>
      </c>
      <c r="N238">
        <v>104</v>
      </c>
      <c r="O238" s="198" t="s">
        <v>27</v>
      </c>
      <c r="P238">
        <v>7744</v>
      </c>
      <c r="Q238">
        <v>0</v>
      </c>
      <c r="R238" s="91"/>
    </row>
    <row r="239" spans="1:18" x14ac:dyDescent="0.25">
      <c r="A239" s="90" t="str">
        <f t="shared" si="3"/>
        <v>VictoriaCommencements454441st revision</v>
      </c>
      <c r="B239" s="199">
        <v>238</v>
      </c>
      <c r="C239" s="198" t="s">
        <v>8</v>
      </c>
      <c r="D239" s="198" t="s">
        <v>73</v>
      </c>
      <c r="E239">
        <v>2024.4</v>
      </c>
      <c r="F239">
        <v>122</v>
      </c>
      <c r="G239" s="65">
        <v>45444</v>
      </c>
      <c r="H239">
        <v>7872</v>
      </c>
      <c r="I239">
        <v>0</v>
      </c>
      <c r="J239" s="198" t="s">
        <v>0</v>
      </c>
      <c r="K239">
        <v>7769</v>
      </c>
      <c r="L239">
        <v>7975</v>
      </c>
      <c r="M239">
        <v>7830</v>
      </c>
      <c r="N239">
        <v>100.5</v>
      </c>
      <c r="O239" s="198" t="s">
        <v>27</v>
      </c>
      <c r="P239">
        <v>7830</v>
      </c>
      <c r="Q239">
        <v>0</v>
      </c>
      <c r="R239" s="91"/>
    </row>
    <row r="240" spans="1:18" x14ac:dyDescent="0.25">
      <c r="A240" s="90" t="str">
        <f t="shared" si="3"/>
        <v>VictoriaCommencements45536Initial</v>
      </c>
      <c r="B240" s="199">
        <v>239</v>
      </c>
      <c r="C240" s="198" t="s">
        <v>8</v>
      </c>
      <c r="D240" s="198" t="s">
        <v>73</v>
      </c>
      <c r="E240">
        <v>2025.1</v>
      </c>
      <c r="F240">
        <v>122</v>
      </c>
      <c r="G240" s="65">
        <v>45536</v>
      </c>
      <c r="H240">
        <v>5143</v>
      </c>
      <c r="I240">
        <v>0</v>
      </c>
      <c r="J240" s="198" t="s">
        <v>30</v>
      </c>
      <c r="K240">
        <v>4427</v>
      </c>
      <c r="L240">
        <v>5859</v>
      </c>
      <c r="M240">
        <v>4927</v>
      </c>
      <c r="N240">
        <v>104.4</v>
      </c>
      <c r="O240" s="198" t="s">
        <v>27</v>
      </c>
      <c r="P240">
        <v>4907</v>
      </c>
      <c r="Q240">
        <v>0</v>
      </c>
      <c r="R240" s="91"/>
    </row>
    <row r="241" spans="1:18" x14ac:dyDescent="0.25">
      <c r="A241" s="90" t="str">
        <f t="shared" si="3"/>
        <v>VictoriaCommencements455361st revision</v>
      </c>
      <c r="B241" s="199">
        <v>240</v>
      </c>
      <c r="C241" s="198" t="s">
        <v>8</v>
      </c>
      <c r="D241" s="198" t="s">
        <v>73</v>
      </c>
      <c r="E241">
        <v>2025.1</v>
      </c>
      <c r="F241">
        <v>123</v>
      </c>
      <c r="G241" s="65">
        <v>45536</v>
      </c>
      <c r="H241">
        <v>4947</v>
      </c>
      <c r="I241">
        <v>0</v>
      </c>
      <c r="J241" s="198" t="s">
        <v>0</v>
      </c>
      <c r="K241">
        <v>4882</v>
      </c>
      <c r="L241">
        <v>5012</v>
      </c>
      <c r="M241">
        <v>4927</v>
      </c>
      <c r="N241">
        <v>100.4</v>
      </c>
      <c r="O241" s="198" t="s">
        <v>27</v>
      </c>
      <c r="P241">
        <v>4927</v>
      </c>
      <c r="Q241">
        <v>0</v>
      </c>
      <c r="R241" s="91"/>
    </row>
    <row r="242" spans="1:18" x14ac:dyDescent="0.25">
      <c r="A242" s="90" t="str">
        <f t="shared" si="3"/>
        <v>VictoriaCompletions45261Initial</v>
      </c>
      <c r="B242" s="199">
        <v>241</v>
      </c>
      <c r="C242" s="198" t="s">
        <v>8</v>
      </c>
      <c r="D242" s="198" t="s">
        <v>74</v>
      </c>
      <c r="E242">
        <v>2024.2</v>
      </c>
      <c r="F242">
        <v>119</v>
      </c>
      <c r="G242" s="65">
        <v>45261</v>
      </c>
      <c r="H242">
        <v>7531</v>
      </c>
      <c r="I242">
        <v>0</v>
      </c>
      <c r="J242" s="198" t="s">
        <v>30</v>
      </c>
      <c r="K242">
        <v>7214</v>
      </c>
      <c r="L242">
        <v>7848</v>
      </c>
      <c r="M242">
        <v>7155</v>
      </c>
      <c r="N242">
        <v>105.3</v>
      </c>
      <c r="O242" s="198" t="s">
        <v>26</v>
      </c>
      <c r="P242">
        <v>6917</v>
      </c>
      <c r="Q242">
        <v>0</v>
      </c>
      <c r="R242" s="91"/>
    </row>
    <row r="243" spans="1:18" x14ac:dyDescent="0.25">
      <c r="A243" s="90" t="str">
        <f t="shared" si="3"/>
        <v>VictoriaCompletions452611st revision</v>
      </c>
      <c r="B243" s="199">
        <v>242</v>
      </c>
      <c r="C243" s="198" t="s">
        <v>8</v>
      </c>
      <c r="D243" s="198" t="s">
        <v>74</v>
      </c>
      <c r="E243">
        <v>2024.2</v>
      </c>
      <c r="F243">
        <v>120</v>
      </c>
      <c r="G243" s="65">
        <v>45261</v>
      </c>
      <c r="H243">
        <v>7369</v>
      </c>
      <c r="I243">
        <v>0</v>
      </c>
      <c r="J243" s="198" t="s">
        <v>0</v>
      </c>
      <c r="K243">
        <v>7185</v>
      </c>
      <c r="L243">
        <v>7553</v>
      </c>
      <c r="M243">
        <v>7155</v>
      </c>
      <c r="N243">
        <v>103</v>
      </c>
      <c r="O243" s="198" t="s">
        <v>26</v>
      </c>
      <c r="P243">
        <v>7066</v>
      </c>
      <c r="Q243">
        <v>0</v>
      </c>
      <c r="R243" s="91"/>
    </row>
    <row r="244" spans="1:18" x14ac:dyDescent="0.25">
      <c r="A244" s="90" t="str">
        <f t="shared" si="3"/>
        <v>VictoriaCompletions45352Initial</v>
      </c>
      <c r="B244" s="199">
        <v>243</v>
      </c>
      <c r="C244" s="198" t="s">
        <v>8</v>
      </c>
      <c r="D244" s="198" t="s">
        <v>74</v>
      </c>
      <c r="E244">
        <v>2024.3</v>
      </c>
      <c r="F244">
        <v>120</v>
      </c>
      <c r="G244" s="65">
        <v>45352</v>
      </c>
      <c r="H244">
        <v>4389</v>
      </c>
      <c r="I244">
        <v>0</v>
      </c>
      <c r="J244" s="198" t="s">
        <v>30</v>
      </c>
      <c r="K244">
        <v>4209</v>
      </c>
      <c r="L244">
        <v>4569</v>
      </c>
      <c r="M244">
        <v>4182</v>
      </c>
      <c r="N244">
        <v>104.9</v>
      </c>
      <c r="O244" s="198" t="s">
        <v>26</v>
      </c>
      <c r="P244">
        <v>4034</v>
      </c>
      <c r="Q244">
        <v>0</v>
      </c>
      <c r="R244" s="91"/>
    </row>
    <row r="245" spans="1:18" x14ac:dyDescent="0.25">
      <c r="A245" s="90" t="str">
        <f t="shared" si="3"/>
        <v>VictoriaCompletions453521st revision</v>
      </c>
      <c r="B245" s="199">
        <v>244</v>
      </c>
      <c r="C245" s="198" t="s">
        <v>8</v>
      </c>
      <c r="D245" s="198" t="s">
        <v>74</v>
      </c>
      <c r="E245">
        <v>2024.3</v>
      </c>
      <c r="F245">
        <v>121</v>
      </c>
      <c r="G245" s="65">
        <v>45352</v>
      </c>
      <c r="H245">
        <v>4309</v>
      </c>
      <c r="I245">
        <v>0</v>
      </c>
      <c r="J245" s="198" t="s">
        <v>0</v>
      </c>
      <c r="K245">
        <v>4185</v>
      </c>
      <c r="L245">
        <v>4433</v>
      </c>
      <c r="M245">
        <v>4182</v>
      </c>
      <c r="N245">
        <v>103</v>
      </c>
      <c r="O245" s="198" t="s">
        <v>26</v>
      </c>
      <c r="P245">
        <v>4135</v>
      </c>
      <c r="Q245">
        <v>0</v>
      </c>
      <c r="R245" s="91"/>
    </row>
    <row r="246" spans="1:18" x14ac:dyDescent="0.25">
      <c r="A246" s="90" t="str">
        <f t="shared" si="3"/>
        <v>VictoriaCompletions45444Initial</v>
      </c>
      <c r="B246" s="199">
        <v>245</v>
      </c>
      <c r="C246" s="198" t="s">
        <v>8</v>
      </c>
      <c r="D246" s="198" t="s">
        <v>74</v>
      </c>
      <c r="E246">
        <v>2024.4</v>
      </c>
      <c r="F246">
        <v>121</v>
      </c>
      <c r="G246" s="65">
        <v>45444</v>
      </c>
      <c r="H246">
        <v>3886</v>
      </c>
      <c r="I246">
        <v>0</v>
      </c>
      <c r="J246" s="198" t="s">
        <v>30</v>
      </c>
      <c r="K246">
        <v>3726</v>
      </c>
      <c r="L246">
        <v>4046</v>
      </c>
      <c r="M246">
        <v>3741</v>
      </c>
      <c r="N246">
        <v>103.9</v>
      </c>
      <c r="O246" s="198" t="s">
        <v>27</v>
      </c>
      <c r="P246">
        <v>3580</v>
      </c>
      <c r="Q246">
        <v>0</v>
      </c>
      <c r="R246" s="91"/>
    </row>
    <row r="247" spans="1:18" x14ac:dyDescent="0.25">
      <c r="A247" s="90" t="str">
        <f t="shared" si="3"/>
        <v>VictoriaCompletions454441st revision</v>
      </c>
      <c r="B247" s="199">
        <v>246</v>
      </c>
      <c r="C247" s="198" t="s">
        <v>8</v>
      </c>
      <c r="D247" s="198" t="s">
        <v>74</v>
      </c>
      <c r="E247">
        <v>2024.4</v>
      </c>
      <c r="F247">
        <v>122</v>
      </c>
      <c r="G247" s="65">
        <v>45444</v>
      </c>
      <c r="H247">
        <v>3805</v>
      </c>
      <c r="I247">
        <v>0</v>
      </c>
      <c r="J247" s="198" t="s">
        <v>0</v>
      </c>
      <c r="K247">
        <v>3723</v>
      </c>
      <c r="L247">
        <v>3887</v>
      </c>
      <c r="M247">
        <v>3741</v>
      </c>
      <c r="N247">
        <v>101.7</v>
      </c>
      <c r="O247" s="198" t="s">
        <v>27</v>
      </c>
      <c r="P247">
        <v>3667</v>
      </c>
      <c r="Q247">
        <v>0</v>
      </c>
      <c r="R247" s="91"/>
    </row>
    <row r="248" spans="1:18" x14ac:dyDescent="0.25">
      <c r="A248" s="90" t="str">
        <f t="shared" si="3"/>
        <v>VictoriaCompletions45536Initial</v>
      </c>
      <c r="B248" s="199">
        <v>247</v>
      </c>
      <c r="C248" s="198" t="s">
        <v>8</v>
      </c>
      <c r="D248" s="198" t="s">
        <v>74</v>
      </c>
      <c r="E248">
        <v>2025.1</v>
      </c>
      <c r="F248">
        <v>122</v>
      </c>
      <c r="G248" s="65">
        <v>45536</v>
      </c>
      <c r="H248">
        <v>4065</v>
      </c>
      <c r="I248">
        <v>0</v>
      </c>
      <c r="J248" s="198" t="s">
        <v>30</v>
      </c>
      <c r="K248">
        <v>3919</v>
      </c>
      <c r="L248">
        <v>4211</v>
      </c>
      <c r="M248">
        <v>3921</v>
      </c>
      <c r="N248">
        <v>103.7</v>
      </c>
      <c r="O248" s="198" t="s">
        <v>27</v>
      </c>
      <c r="P248">
        <v>3768</v>
      </c>
      <c r="Q248">
        <v>0</v>
      </c>
      <c r="R248" s="91"/>
    </row>
    <row r="249" spans="1:18" x14ac:dyDescent="0.25">
      <c r="A249" s="90" t="str">
        <f t="shared" si="3"/>
        <v>VictoriaCompletions455361st revision</v>
      </c>
      <c r="B249" s="199">
        <v>248</v>
      </c>
      <c r="C249" s="198" t="s">
        <v>8</v>
      </c>
      <c r="D249" s="198" t="s">
        <v>74</v>
      </c>
      <c r="E249">
        <v>2025.1</v>
      </c>
      <c r="F249">
        <v>123</v>
      </c>
      <c r="G249" s="65">
        <v>45536</v>
      </c>
      <c r="H249">
        <v>3982</v>
      </c>
      <c r="I249">
        <v>0</v>
      </c>
      <c r="J249" s="198" t="s">
        <v>0</v>
      </c>
      <c r="K249">
        <v>3875</v>
      </c>
      <c r="L249">
        <v>4089</v>
      </c>
      <c r="M249">
        <v>3921</v>
      </c>
      <c r="N249">
        <v>101.6</v>
      </c>
      <c r="O249" s="198" t="s">
        <v>27</v>
      </c>
      <c r="P249">
        <v>3848</v>
      </c>
      <c r="Q249">
        <v>0</v>
      </c>
      <c r="R249" s="91"/>
    </row>
    <row r="250" spans="1:18" x14ac:dyDescent="0.25">
      <c r="A250" s="90" t="str">
        <f t="shared" si="3"/>
        <v>VictoriaIn-training44896Initial</v>
      </c>
      <c r="B250" s="199">
        <v>249</v>
      </c>
      <c r="C250" s="198" t="s">
        <v>8</v>
      </c>
      <c r="D250" s="198" t="s">
        <v>75</v>
      </c>
      <c r="E250">
        <v>2023.2</v>
      </c>
      <c r="F250">
        <v>115</v>
      </c>
      <c r="G250" s="65">
        <v>44896</v>
      </c>
      <c r="H250">
        <v>78947</v>
      </c>
      <c r="I250">
        <v>0</v>
      </c>
      <c r="J250" s="198" t="s">
        <v>30</v>
      </c>
      <c r="K250">
        <v>76848</v>
      </c>
      <c r="L250">
        <v>81046</v>
      </c>
      <c r="M250">
        <v>78126</v>
      </c>
      <c r="N250">
        <v>101.1</v>
      </c>
      <c r="O250" s="198" t="s">
        <v>27</v>
      </c>
      <c r="P250">
        <v>82438</v>
      </c>
      <c r="Q250">
        <v>0</v>
      </c>
      <c r="R250" s="91"/>
    </row>
    <row r="251" spans="1:18" x14ac:dyDescent="0.25">
      <c r="A251" s="90" t="str">
        <f t="shared" si="3"/>
        <v>VictoriaIn-training448961st revision</v>
      </c>
      <c r="B251" s="199">
        <v>250</v>
      </c>
      <c r="C251" s="198" t="s">
        <v>8</v>
      </c>
      <c r="D251" s="198" t="s">
        <v>75</v>
      </c>
      <c r="E251">
        <v>2023.2</v>
      </c>
      <c r="F251">
        <v>116</v>
      </c>
      <c r="G251" s="65">
        <v>44896</v>
      </c>
      <c r="H251">
        <v>78598</v>
      </c>
      <c r="I251">
        <v>0</v>
      </c>
      <c r="J251" s="198" t="s">
        <v>0</v>
      </c>
      <c r="K251">
        <v>77517</v>
      </c>
      <c r="L251">
        <v>79679</v>
      </c>
      <c r="M251">
        <v>78126</v>
      </c>
      <c r="N251">
        <v>100.6</v>
      </c>
      <c r="O251" s="198" t="s">
        <v>27</v>
      </c>
      <c r="P251">
        <v>80858</v>
      </c>
      <c r="Q251">
        <v>0</v>
      </c>
      <c r="R251" s="91"/>
    </row>
    <row r="252" spans="1:18" x14ac:dyDescent="0.25">
      <c r="A252" s="90" t="str">
        <f t="shared" si="3"/>
        <v>VictoriaIn-training44986Initial</v>
      </c>
      <c r="B252" s="199">
        <v>251</v>
      </c>
      <c r="C252" s="198" t="s">
        <v>8</v>
      </c>
      <c r="D252" s="198" t="s">
        <v>75</v>
      </c>
      <c r="E252">
        <v>2023.3</v>
      </c>
      <c r="F252">
        <v>116</v>
      </c>
      <c r="G252" s="65">
        <v>44986</v>
      </c>
      <c r="H252">
        <v>81211.760306199998</v>
      </c>
      <c r="I252">
        <v>81510</v>
      </c>
      <c r="J252" s="198" t="s">
        <v>30</v>
      </c>
      <c r="K252">
        <v>78604</v>
      </c>
      <c r="L252">
        <v>83819</v>
      </c>
      <c r="M252">
        <v>80866</v>
      </c>
      <c r="N252">
        <v>100.4</v>
      </c>
      <c r="O252" s="198" t="s">
        <v>27</v>
      </c>
      <c r="P252">
        <v>84759</v>
      </c>
      <c r="Q252">
        <v>100.8</v>
      </c>
      <c r="R252" s="91"/>
    </row>
    <row r="253" spans="1:18" x14ac:dyDescent="0.25">
      <c r="A253" s="90" t="str">
        <f t="shared" si="3"/>
        <v>VictoriaIn-training449861st revision</v>
      </c>
      <c r="B253" s="199">
        <v>252</v>
      </c>
      <c r="C253" s="198" t="s">
        <v>8</v>
      </c>
      <c r="D253" s="198" t="s">
        <v>75</v>
      </c>
      <c r="E253">
        <v>2023.3</v>
      </c>
      <c r="F253">
        <v>117</v>
      </c>
      <c r="G253" s="65">
        <v>44986</v>
      </c>
      <c r="H253">
        <v>81288</v>
      </c>
      <c r="I253">
        <v>0</v>
      </c>
      <c r="J253" s="198" t="s">
        <v>0</v>
      </c>
      <c r="K253">
        <v>80334</v>
      </c>
      <c r="L253">
        <v>82242</v>
      </c>
      <c r="M253">
        <v>80866</v>
      </c>
      <c r="N253">
        <v>100.5</v>
      </c>
      <c r="O253" s="198" t="s">
        <v>27</v>
      </c>
      <c r="P253">
        <v>83411</v>
      </c>
      <c r="Q253">
        <v>0</v>
      </c>
      <c r="R253" s="91"/>
    </row>
    <row r="254" spans="1:18" x14ac:dyDescent="0.25">
      <c r="A254" s="90" t="str">
        <f t="shared" si="3"/>
        <v>VictoriaIn-training45078Initial</v>
      </c>
      <c r="B254" s="199">
        <v>253</v>
      </c>
      <c r="C254" s="198" t="s">
        <v>8</v>
      </c>
      <c r="D254" s="198" t="s">
        <v>75</v>
      </c>
      <c r="E254">
        <v>2023.4</v>
      </c>
      <c r="F254">
        <v>117</v>
      </c>
      <c r="G254" s="65">
        <v>45078</v>
      </c>
      <c r="H254">
        <v>78970</v>
      </c>
      <c r="I254">
        <v>0</v>
      </c>
      <c r="J254" s="198" t="s">
        <v>30</v>
      </c>
      <c r="K254">
        <v>76863</v>
      </c>
      <c r="L254">
        <v>81077</v>
      </c>
      <c r="M254">
        <v>78936</v>
      </c>
      <c r="N254">
        <v>100</v>
      </c>
      <c r="O254" s="198" t="s">
        <v>27</v>
      </c>
      <c r="P254">
        <v>82456</v>
      </c>
      <c r="Q254">
        <v>0</v>
      </c>
      <c r="R254" s="91"/>
    </row>
    <row r="255" spans="1:18" x14ac:dyDescent="0.25">
      <c r="A255" s="90" t="str">
        <f t="shared" si="3"/>
        <v>VictoriaIn-training450781st revision</v>
      </c>
      <c r="B255" s="199">
        <v>254</v>
      </c>
      <c r="C255" s="198" t="s">
        <v>8</v>
      </c>
      <c r="D255" s="198" t="s">
        <v>75</v>
      </c>
      <c r="E255">
        <v>2023.4</v>
      </c>
      <c r="F255">
        <v>118</v>
      </c>
      <c r="G255" s="65">
        <v>45078</v>
      </c>
      <c r="H255">
        <v>79482</v>
      </c>
      <c r="I255">
        <v>0</v>
      </c>
      <c r="J255" s="198" t="s">
        <v>0</v>
      </c>
      <c r="K255">
        <v>78740</v>
      </c>
      <c r="L255">
        <v>80224</v>
      </c>
      <c r="M255">
        <v>78936</v>
      </c>
      <c r="N255">
        <v>100.7</v>
      </c>
      <c r="O255" s="198" t="s">
        <v>27</v>
      </c>
      <c r="P255">
        <v>81420</v>
      </c>
      <c r="Q255">
        <v>0</v>
      </c>
      <c r="R255" s="91"/>
    </row>
    <row r="256" spans="1:18" x14ac:dyDescent="0.25">
      <c r="A256" s="90" t="str">
        <f t="shared" si="3"/>
        <v>VictoriaIn-training45170Initial</v>
      </c>
      <c r="B256" s="199">
        <v>255</v>
      </c>
      <c r="C256" s="198" t="s">
        <v>8</v>
      </c>
      <c r="D256" s="198" t="s">
        <v>75</v>
      </c>
      <c r="E256">
        <v>2024.1</v>
      </c>
      <c r="F256">
        <v>118</v>
      </c>
      <c r="G256" s="65">
        <v>45170</v>
      </c>
      <c r="H256">
        <v>77144</v>
      </c>
      <c r="I256">
        <v>0</v>
      </c>
      <c r="J256" s="198" t="s">
        <v>30</v>
      </c>
      <c r="K256">
        <v>75548</v>
      </c>
      <c r="L256">
        <v>78740</v>
      </c>
      <c r="M256">
        <v>76840</v>
      </c>
      <c r="N256">
        <v>100.4</v>
      </c>
      <c r="O256" s="198" t="s">
        <v>27</v>
      </c>
      <c r="P256">
        <v>80488</v>
      </c>
      <c r="Q256">
        <v>0</v>
      </c>
      <c r="R256" s="91"/>
    </row>
    <row r="257" spans="1:18" x14ac:dyDescent="0.25">
      <c r="A257" s="90" t="str">
        <f t="shared" si="3"/>
        <v>VictoriaIn-training451701st revision</v>
      </c>
      <c r="B257" s="199">
        <v>256</v>
      </c>
      <c r="C257" s="198" t="s">
        <v>8</v>
      </c>
      <c r="D257" s="198" t="s">
        <v>75</v>
      </c>
      <c r="E257">
        <v>2024.1</v>
      </c>
      <c r="F257">
        <v>119</v>
      </c>
      <c r="G257" s="65">
        <v>45170</v>
      </c>
      <c r="H257">
        <v>77785</v>
      </c>
      <c r="I257">
        <v>0</v>
      </c>
      <c r="J257" s="198" t="s">
        <v>0</v>
      </c>
      <c r="K257">
        <v>77049</v>
      </c>
      <c r="L257">
        <v>78521</v>
      </c>
      <c r="M257">
        <v>76840</v>
      </c>
      <c r="N257">
        <v>101.2</v>
      </c>
      <c r="O257" s="198" t="s">
        <v>27</v>
      </c>
      <c r="P257">
        <v>79322</v>
      </c>
      <c r="Q257">
        <v>0</v>
      </c>
      <c r="R257" s="91"/>
    </row>
    <row r="258" spans="1:18" x14ac:dyDescent="0.25">
      <c r="A258" s="90" t="str">
        <f t="shared" ref="A258:A289" si="4">CONCATENATE(C258,D258,G258,J258)</f>
        <v>Western AustraliaCancellations/withdrawals44896Initial</v>
      </c>
      <c r="B258" s="199">
        <v>257</v>
      </c>
      <c r="C258" s="198" t="s">
        <v>9</v>
      </c>
      <c r="D258" s="198" t="s">
        <v>72</v>
      </c>
      <c r="E258">
        <v>2023.2</v>
      </c>
      <c r="F258">
        <v>115</v>
      </c>
      <c r="G258" s="65">
        <v>44896</v>
      </c>
      <c r="H258">
        <v>3808</v>
      </c>
      <c r="I258">
        <v>0</v>
      </c>
      <c r="J258" s="198" t="s">
        <v>30</v>
      </c>
      <c r="K258">
        <v>3678</v>
      </c>
      <c r="L258">
        <v>3938</v>
      </c>
      <c r="M258">
        <v>3783</v>
      </c>
      <c r="N258">
        <v>100.7</v>
      </c>
      <c r="O258" s="198" t="s">
        <v>27</v>
      </c>
      <c r="P258">
        <v>3783</v>
      </c>
      <c r="Q258">
        <v>0</v>
      </c>
      <c r="R258" s="91"/>
    </row>
    <row r="259" spans="1:18" x14ac:dyDescent="0.25">
      <c r="A259" s="90" t="str">
        <f t="shared" si="4"/>
        <v>Western AustraliaCancellations/withdrawals448961st revision</v>
      </c>
      <c r="B259" s="199">
        <v>258</v>
      </c>
      <c r="C259" s="198" t="s">
        <v>9</v>
      </c>
      <c r="D259" s="198" t="s">
        <v>72</v>
      </c>
      <c r="E259">
        <v>2023.2</v>
      </c>
      <c r="F259">
        <v>116</v>
      </c>
      <c r="G259" s="65">
        <v>44896</v>
      </c>
      <c r="H259">
        <v>3796</v>
      </c>
      <c r="I259">
        <v>0</v>
      </c>
      <c r="J259" s="198" t="s">
        <v>0</v>
      </c>
      <c r="K259">
        <v>3746</v>
      </c>
      <c r="L259">
        <v>3846</v>
      </c>
      <c r="M259">
        <v>3783</v>
      </c>
      <c r="N259">
        <v>100.3</v>
      </c>
      <c r="O259" s="198" t="s">
        <v>27</v>
      </c>
      <c r="P259">
        <v>3783</v>
      </c>
      <c r="Q259">
        <v>0</v>
      </c>
      <c r="R259" s="91"/>
    </row>
    <row r="260" spans="1:18" x14ac:dyDescent="0.25">
      <c r="A260" s="90" t="str">
        <f t="shared" si="4"/>
        <v>Western AustraliaCancellations/withdrawals44986Initial</v>
      </c>
      <c r="B260" s="199">
        <v>259</v>
      </c>
      <c r="C260" s="198" t="s">
        <v>9</v>
      </c>
      <c r="D260" s="198" t="s">
        <v>72</v>
      </c>
      <c r="E260">
        <v>2023.3</v>
      </c>
      <c r="F260">
        <v>116</v>
      </c>
      <c r="G260" s="65">
        <v>44986</v>
      </c>
      <c r="H260">
        <v>4187</v>
      </c>
      <c r="I260">
        <v>0</v>
      </c>
      <c r="J260" s="198" t="s">
        <v>30</v>
      </c>
      <c r="K260">
        <v>4024</v>
      </c>
      <c r="L260">
        <v>4350</v>
      </c>
      <c r="M260">
        <v>4168</v>
      </c>
      <c r="N260">
        <v>100.5</v>
      </c>
      <c r="O260" s="198" t="s">
        <v>27</v>
      </c>
      <c r="P260">
        <v>4168</v>
      </c>
      <c r="Q260">
        <v>0</v>
      </c>
      <c r="R260" s="91"/>
    </row>
    <row r="261" spans="1:18" x14ac:dyDescent="0.25">
      <c r="A261" s="90" t="str">
        <f t="shared" si="4"/>
        <v>Western AustraliaCancellations/withdrawals449861st revision</v>
      </c>
      <c r="B261" s="199">
        <v>260</v>
      </c>
      <c r="C261" s="198" t="s">
        <v>9</v>
      </c>
      <c r="D261" s="198" t="s">
        <v>72</v>
      </c>
      <c r="E261">
        <v>2023.3</v>
      </c>
      <c r="F261">
        <v>117</v>
      </c>
      <c r="G261" s="65">
        <v>44986</v>
      </c>
      <c r="H261">
        <v>4180</v>
      </c>
      <c r="I261">
        <v>0</v>
      </c>
      <c r="J261" s="198" t="s">
        <v>0</v>
      </c>
      <c r="K261">
        <v>4124</v>
      </c>
      <c r="L261">
        <v>4236</v>
      </c>
      <c r="M261">
        <v>4168</v>
      </c>
      <c r="N261">
        <v>100.3</v>
      </c>
      <c r="O261" s="198" t="s">
        <v>27</v>
      </c>
      <c r="P261">
        <v>4168</v>
      </c>
      <c r="Q261">
        <v>0</v>
      </c>
      <c r="R261" s="91"/>
    </row>
    <row r="262" spans="1:18" x14ac:dyDescent="0.25">
      <c r="A262" s="90" t="str">
        <f t="shared" si="4"/>
        <v>Western AustraliaCancellations/withdrawals45078Initial</v>
      </c>
      <c r="B262" s="199">
        <v>261</v>
      </c>
      <c r="C262" s="198" t="s">
        <v>9</v>
      </c>
      <c r="D262" s="198" t="s">
        <v>72</v>
      </c>
      <c r="E262">
        <v>2023.4</v>
      </c>
      <c r="F262">
        <v>117</v>
      </c>
      <c r="G262" s="65">
        <v>45078</v>
      </c>
      <c r="H262">
        <v>3709</v>
      </c>
      <c r="I262">
        <v>0</v>
      </c>
      <c r="J262" s="198" t="s">
        <v>30</v>
      </c>
      <c r="K262">
        <v>3563</v>
      </c>
      <c r="L262">
        <v>3855</v>
      </c>
      <c r="M262">
        <v>3693</v>
      </c>
      <c r="N262">
        <v>100.4</v>
      </c>
      <c r="O262" s="198" t="s">
        <v>27</v>
      </c>
      <c r="P262">
        <v>3694</v>
      </c>
      <c r="Q262">
        <v>0</v>
      </c>
      <c r="R262" s="91"/>
    </row>
    <row r="263" spans="1:18" x14ac:dyDescent="0.25">
      <c r="A263" s="90" t="str">
        <f t="shared" si="4"/>
        <v>Western AustraliaCancellations/withdrawals450781st revision</v>
      </c>
      <c r="B263" s="199">
        <v>262</v>
      </c>
      <c r="C263" s="198" t="s">
        <v>9</v>
      </c>
      <c r="D263" s="198" t="s">
        <v>72</v>
      </c>
      <c r="E263">
        <v>2023.4</v>
      </c>
      <c r="F263">
        <v>118</v>
      </c>
      <c r="G263" s="65">
        <v>45078</v>
      </c>
      <c r="H263">
        <v>3700</v>
      </c>
      <c r="I263">
        <v>0</v>
      </c>
      <c r="J263" s="198" t="s">
        <v>0</v>
      </c>
      <c r="K263">
        <v>3652</v>
      </c>
      <c r="L263">
        <v>3748</v>
      </c>
      <c r="M263">
        <v>3693</v>
      </c>
      <c r="N263">
        <v>100.2</v>
      </c>
      <c r="O263" s="198" t="s">
        <v>27</v>
      </c>
      <c r="P263">
        <v>3693</v>
      </c>
      <c r="Q263">
        <v>0</v>
      </c>
      <c r="R263" s="91"/>
    </row>
    <row r="264" spans="1:18" x14ac:dyDescent="0.25">
      <c r="A264" s="90" t="str">
        <f t="shared" si="4"/>
        <v>Western AustraliaCancellations/withdrawals45170Initial</v>
      </c>
      <c r="B264" s="199">
        <v>263</v>
      </c>
      <c r="C264" s="198" t="s">
        <v>9</v>
      </c>
      <c r="D264" s="198" t="s">
        <v>72</v>
      </c>
      <c r="E264">
        <v>2024.1</v>
      </c>
      <c r="F264">
        <v>118</v>
      </c>
      <c r="G264" s="65">
        <v>45170</v>
      </c>
      <c r="H264">
        <v>3397</v>
      </c>
      <c r="I264">
        <v>0</v>
      </c>
      <c r="J264" s="198" t="s">
        <v>30</v>
      </c>
      <c r="K264">
        <v>3263</v>
      </c>
      <c r="L264">
        <v>3531</v>
      </c>
      <c r="M264">
        <v>3386</v>
      </c>
      <c r="N264">
        <v>100.3</v>
      </c>
      <c r="O264" s="198" t="s">
        <v>27</v>
      </c>
      <c r="P264">
        <v>3386</v>
      </c>
      <c r="Q264">
        <v>0</v>
      </c>
      <c r="R264" s="91"/>
    </row>
    <row r="265" spans="1:18" x14ac:dyDescent="0.25">
      <c r="A265" s="90" t="str">
        <f t="shared" si="4"/>
        <v>Western AustraliaCancellations/withdrawals451701st revision</v>
      </c>
      <c r="B265" s="199">
        <v>264</v>
      </c>
      <c r="C265" s="198" t="s">
        <v>9</v>
      </c>
      <c r="D265" s="198" t="s">
        <v>72</v>
      </c>
      <c r="E265">
        <v>2024.1</v>
      </c>
      <c r="F265">
        <v>119</v>
      </c>
      <c r="G265" s="65">
        <v>45170</v>
      </c>
      <c r="H265">
        <v>3392</v>
      </c>
      <c r="I265">
        <v>0</v>
      </c>
      <c r="J265" s="198" t="s">
        <v>0</v>
      </c>
      <c r="K265">
        <v>3348</v>
      </c>
      <c r="L265">
        <v>3436</v>
      </c>
      <c r="M265">
        <v>3386</v>
      </c>
      <c r="N265">
        <v>100.2</v>
      </c>
      <c r="O265" s="198" t="s">
        <v>27</v>
      </c>
      <c r="P265">
        <v>3386</v>
      </c>
      <c r="Q265">
        <v>0</v>
      </c>
      <c r="R265" s="91"/>
    </row>
    <row r="266" spans="1:18" x14ac:dyDescent="0.25">
      <c r="A266" s="90" t="str">
        <f t="shared" si="4"/>
        <v>Western AustraliaCommencements45261Initial</v>
      </c>
      <c r="B266" s="199">
        <v>265</v>
      </c>
      <c r="C266" s="198" t="s">
        <v>9</v>
      </c>
      <c r="D266" s="198" t="s">
        <v>73</v>
      </c>
      <c r="E266">
        <v>2024.2</v>
      </c>
      <c r="F266">
        <v>119</v>
      </c>
      <c r="G266" s="65">
        <v>45261</v>
      </c>
      <c r="H266">
        <v>4162</v>
      </c>
      <c r="I266">
        <v>0</v>
      </c>
      <c r="J266" s="198" t="s">
        <v>30</v>
      </c>
      <c r="K266">
        <v>4085</v>
      </c>
      <c r="L266">
        <v>4239</v>
      </c>
      <c r="M266">
        <v>4067</v>
      </c>
      <c r="N266">
        <v>102.3</v>
      </c>
      <c r="O266" s="198" t="s">
        <v>26</v>
      </c>
      <c r="P266">
        <v>4126</v>
      </c>
      <c r="Q266">
        <v>0</v>
      </c>
      <c r="R266" s="91"/>
    </row>
    <row r="267" spans="1:18" x14ac:dyDescent="0.25">
      <c r="A267" s="90" t="str">
        <f t="shared" si="4"/>
        <v>Western AustraliaCommencements452611st revision</v>
      </c>
      <c r="B267" s="199">
        <v>266</v>
      </c>
      <c r="C267" s="198" t="s">
        <v>9</v>
      </c>
      <c r="D267" s="198" t="s">
        <v>73</v>
      </c>
      <c r="E267">
        <v>2024.2</v>
      </c>
      <c r="F267">
        <v>120</v>
      </c>
      <c r="G267" s="65">
        <v>45261</v>
      </c>
      <c r="H267">
        <v>4067</v>
      </c>
      <c r="I267">
        <v>0</v>
      </c>
      <c r="J267" s="198" t="s">
        <v>0</v>
      </c>
      <c r="K267">
        <v>3983</v>
      </c>
      <c r="L267">
        <v>4151</v>
      </c>
      <c r="M267">
        <v>4067</v>
      </c>
      <c r="N267">
        <v>100</v>
      </c>
      <c r="O267" s="198" t="s">
        <v>26</v>
      </c>
      <c r="P267">
        <v>4067</v>
      </c>
      <c r="Q267">
        <v>0</v>
      </c>
      <c r="R267" s="91"/>
    </row>
    <row r="268" spans="1:18" x14ac:dyDescent="0.25">
      <c r="A268" s="90" t="str">
        <f t="shared" si="4"/>
        <v>Western AustraliaCommencements45352Initial</v>
      </c>
      <c r="B268" s="199">
        <v>267</v>
      </c>
      <c r="C268" s="198" t="s">
        <v>9</v>
      </c>
      <c r="D268" s="198" t="s">
        <v>73</v>
      </c>
      <c r="E268">
        <v>2024.3</v>
      </c>
      <c r="F268">
        <v>120</v>
      </c>
      <c r="G268" s="65">
        <v>45352</v>
      </c>
      <c r="H268">
        <v>6639</v>
      </c>
      <c r="I268">
        <v>0</v>
      </c>
      <c r="J268" s="198" t="s">
        <v>30</v>
      </c>
      <c r="K268">
        <v>6432</v>
      </c>
      <c r="L268">
        <v>6846</v>
      </c>
      <c r="M268">
        <v>6641</v>
      </c>
      <c r="N268">
        <v>100</v>
      </c>
      <c r="O268" s="198" t="s">
        <v>27</v>
      </c>
      <c r="P268">
        <v>6639</v>
      </c>
      <c r="Q268">
        <v>0</v>
      </c>
      <c r="R268" s="91"/>
    </row>
    <row r="269" spans="1:18" x14ac:dyDescent="0.25">
      <c r="A269" s="90" t="str">
        <f t="shared" si="4"/>
        <v>Western AustraliaCommencements453521st revision</v>
      </c>
      <c r="B269" s="199">
        <v>268</v>
      </c>
      <c r="C269" s="198" t="s">
        <v>9</v>
      </c>
      <c r="D269" s="198" t="s">
        <v>73</v>
      </c>
      <c r="E269">
        <v>2024.3</v>
      </c>
      <c r="F269">
        <v>121</v>
      </c>
      <c r="G269" s="65">
        <v>45352</v>
      </c>
      <c r="H269">
        <v>6640</v>
      </c>
      <c r="I269">
        <v>0</v>
      </c>
      <c r="J269" s="198" t="s">
        <v>0</v>
      </c>
      <c r="K269">
        <v>6508</v>
      </c>
      <c r="L269">
        <v>6772</v>
      </c>
      <c r="M269">
        <v>6641</v>
      </c>
      <c r="N269">
        <v>100</v>
      </c>
      <c r="O269" s="198" t="s">
        <v>27</v>
      </c>
      <c r="P269">
        <v>6640</v>
      </c>
      <c r="Q269">
        <v>0</v>
      </c>
      <c r="R269" s="91"/>
    </row>
    <row r="270" spans="1:18" x14ac:dyDescent="0.25">
      <c r="A270" s="90" t="str">
        <f t="shared" si="4"/>
        <v>Western AustraliaCommencements45444Initial</v>
      </c>
      <c r="B270" s="199">
        <v>269</v>
      </c>
      <c r="C270" s="198" t="s">
        <v>9</v>
      </c>
      <c r="D270" s="198" t="s">
        <v>73</v>
      </c>
      <c r="E270">
        <v>2024.4</v>
      </c>
      <c r="F270">
        <v>121</v>
      </c>
      <c r="G270" s="65">
        <v>45444</v>
      </c>
      <c r="H270">
        <v>5470</v>
      </c>
      <c r="I270">
        <v>0</v>
      </c>
      <c r="J270" s="198" t="s">
        <v>30</v>
      </c>
      <c r="K270">
        <v>5296</v>
      </c>
      <c r="L270">
        <v>5644</v>
      </c>
      <c r="M270">
        <v>5476</v>
      </c>
      <c r="N270">
        <v>99.9</v>
      </c>
      <c r="O270" s="198" t="s">
        <v>27</v>
      </c>
      <c r="P270">
        <v>5470</v>
      </c>
      <c r="Q270">
        <v>0</v>
      </c>
      <c r="R270" s="91"/>
    </row>
    <row r="271" spans="1:18" x14ac:dyDescent="0.25">
      <c r="A271" s="90" t="str">
        <f t="shared" si="4"/>
        <v>Western AustraliaCommencements454441st revision</v>
      </c>
      <c r="B271" s="199">
        <v>270</v>
      </c>
      <c r="C271" s="198" t="s">
        <v>9</v>
      </c>
      <c r="D271" s="198" t="s">
        <v>73</v>
      </c>
      <c r="E271">
        <v>2024.4</v>
      </c>
      <c r="F271">
        <v>122</v>
      </c>
      <c r="G271" s="65">
        <v>45444</v>
      </c>
      <c r="H271">
        <v>5474</v>
      </c>
      <c r="I271">
        <v>0</v>
      </c>
      <c r="J271" s="198" t="s">
        <v>0</v>
      </c>
      <c r="K271">
        <v>5368</v>
      </c>
      <c r="L271">
        <v>5580</v>
      </c>
      <c r="M271">
        <v>5476</v>
      </c>
      <c r="N271">
        <v>100</v>
      </c>
      <c r="O271" s="198" t="s">
        <v>27</v>
      </c>
      <c r="P271">
        <v>5474</v>
      </c>
      <c r="Q271">
        <v>0</v>
      </c>
      <c r="R271" s="91"/>
    </row>
    <row r="272" spans="1:18" x14ac:dyDescent="0.25">
      <c r="A272" s="90" t="str">
        <f t="shared" si="4"/>
        <v>Western AustraliaCommencements45536Initial</v>
      </c>
      <c r="B272" s="199">
        <v>271</v>
      </c>
      <c r="C272" s="198" t="s">
        <v>9</v>
      </c>
      <c r="D272" s="198" t="s">
        <v>73</v>
      </c>
      <c r="E272">
        <v>2025.1</v>
      </c>
      <c r="F272">
        <v>122</v>
      </c>
      <c r="G272" s="65">
        <v>45536</v>
      </c>
      <c r="H272">
        <v>3089</v>
      </c>
      <c r="I272">
        <v>0</v>
      </c>
      <c r="J272" s="198" t="s">
        <v>30</v>
      </c>
      <c r="K272">
        <v>2991</v>
      </c>
      <c r="L272">
        <v>3187</v>
      </c>
      <c r="M272">
        <v>3089</v>
      </c>
      <c r="N272">
        <v>100</v>
      </c>
      <c r="O272" s="198" t="s">
        <v>27</v>
      </c>
      <c r="P272">
        <v>3089</v>
      </c>
      <c r="Q272">
        <v>0</v>
      </c>
      <c r="R272" s="91"/>
    </row>
    <row r="273" spans="1:18" x14ac:dyDescent="0.25">
      <c r="A273" s="90" t="str">
        <f t="shared" si="4"/>
        <v>Western AustraliaCommencements455361st revision</v>
      </c>
      <c r="B273" s="199">
        <v>272</v>
      </c>
      <c r="C273" s="198" t="s">
        <v>9</v>
      </c>
      <c r="D273" s="198" t="s">
        <v>73</v>
      </c>
      <c r="E273">
        <v>2025.1</v>
      </c>
      <c r="F273">
        <v>123</v>
      </c>
      <c r="G273" s="65">
        <v>45536</v>
      </c>
      <c r="H273">
        <v>3089</v>
      </c>
      <c r="I273">
        <v>0</v>
      </c>
      <c r="J273" s="198" t="s">
        <v>0</v>
      </c>
      <c r="K273">
        <v>3019</v>
      </c>
      <c r="L273">
        <v>3159</v>
      </c>
      <c r="M273">
        <v>3089</v>
      </c>
      <c r="N273">
        <v>100</v>
      </c>
      <c r="O273" s="198" t="s">
        <v>27</v>
      </c>
      <c r="P273">
        <v>3089</v>
      </c>
      <c r="Q273">
        <v>0</v>
      </c>
      <c r="R273" s="91"/>
    </row>
    <row r="274" spans="1:18" x14ac:dyDescent="0.25">
      <c r="A274" s="90" t="str">
        <f t="shared" si="4"/>
        <v>Western AustraliaCompletions45261Initial</v>
      </c>
      <c r="B274" s="199">
        <v>273</v>
      </c>
      <c r="C274" s="198" t="s">
        <v>9</v>
      </c>
      <c r="D274" s="198" t="s">
        <v>74</v>
      </c>
      <c r="E274">
        <v>2024.2</v>
      </c>
      <c r="F274">
        <v>119</v>
      </c>
      <c r="G274" s="65">
        <v>45261</v>
      </c>
      <c r="H274">
        <v>3403</v>
      </c>
      <c r="I274">
        <v>0</v>
      </c>
      <c r="J274" s="198" t="s">
        <v>30</v>
      </c>
      <c r="K274">
        <v>3371</v>
      </c>
      <c r="L274">
        <v>3435</v>
      </c>
      <c r="M274">
        <v>3387</v>
      </c>
      <c r="N274">
        <v>100.5</v>
      </c>
      <c r="O274" s="198" t="s">
        <v>27</v>
      </c>
      <c r="P274">
        <v>3372</v>
      </c>
      <c r="Q274">
        <v>0</v>
      </c>
      <c r="R274" s="91"/>
    </row>
    <row r="275" spans="1:18" x14ac:dyDescent="0.25">
      <c r="A275" s="90" t="str">
        <f t="shared" si="4"/>
        <v>Western AustraliaCompletions452611st revision</v>
      </c>
      <c r="B275" s="199">
        <v>274</v>
      </c>
      <c r="C275" s="198" t="s">
        <v>9</v>
      </c>
      <c r="D275" s="198" t="s">
        <v>74</v>
      </c>
      <c r="E275">
        <v>2024.2</v>
      </c>
      <c r="F275">
        <v>120</v>
      </c>
      <c r="G275" s="65">
        <v>45261</v>
      </c>
      <c r="H275">
        <v>3390</v>
      </c>
      <c r="I275">
        <v>0</v>
      </c>
      <c r="J275" s="198" t="s">
        <v>0</v>
      </c>
      <c r="K275">
        <v>3377</v>
      </c>
      <c r="L275">
        <v>3403</v>
      </c>
      <c r="M275">
        <v>3387</v>
      </c>
      <c r="N275">
        <v>100.1</v>
      </c>
      <c r="O275" s="198" t="s">
        <v>27</v>
      </c>
      <c r="P275">
        <v>3380</v>
      </c>
      <c r="Q275">
        <v>0</v>
      </c>
      <c r="R275" s="91"/>
    </row>
    <row r="276" spans="1:18" x14ac:dyDescent="0.25">
      <c r="A276" s="90" t="str">
        <f t="shared" si="4"/>
        <v>Western AustraliaCompletions45352Initial</v>
      </c>
      <c r="B276" s="199">
        <v>275</v>
      </c>
      <c r="C276" s="198" t="s">
        <v>9</v>
      </c>
      <c r="D276" s="198" t="s">
        <v>74</v>
      </c>
      <c r="E276">
        <v>2024.3</v>
      </c>
      <c r="F276">
        <v>120</v>
      </c>
      <c r="G276" s="65">
        <v>45352</v>
      </c>
      <c r="H276">
        <v>2672</v>
      </c>
      <c r="I276">
        <v>0</v>
      </c>
      <c r="J276" s="198" t="s">
        <v>30</v>
      </c>
      <c r="K276">
        <v>2646</v>
      </c>
      <c r="L276">
        <v>2698</v>
      </c>
      <c r="M276">
        <v>2667</v>
      </c>
      <c r="N276">
        <v>100.2</v>
      </c>
      <c r="O276" s="198" t="s">
        <v>27</v>
      </c>
      <c r="P276">
        <v>2648</v>
      </c>
      <c r="Q276">
        <v>0</v>
      </c>
      <c r="R276" s="91"/>
    </row>
    <row r="277" spans="1:18" x14ac:dyDescent="0.25">
      <c r="A277" s="90" t="str">
        <f t="shared" si="4"/>
        <v>Western AustraliaCompletions453521st revision</v>
      </c>
      <c r="B277" s="199">
        <v>276</v>
      </c>
      <c r="C277" s="198" t="s">
        <v>9</v>
      </c>
      <c r="D277" s="198" t="s">
        <v>74</v>
      </c>
      <c r="E277">
        <v>2024.3</v>
      </c>
      <c r="F277">
        <v>121</v>
      </c>
      <c r="G277" s="65">
        <v>45352</v>
      </c>
      <c r="H277">
        <v>2668</v>
      </c>
      <c r="I277">
        <v>0</v>
      </c>
      <c r="J277" s="198" t="s">
        <v>0</v>
      </c>
      <c r="K277">
        <v>2658</v>
      </c>
      <c r="L277">
        <v>2678</v>
      </c>
      <c r="M277">
        <v>2667</v>
      </c>
      <c r="N277">
        <v>100</v>
      </c>
      <c r="O277" s="198" t="s">
        <v>27</v>
      </c>
      <c r="P277">
        <v>2660</v>
      </c>
      <c r="Q277">
        <v>0</v>
      </c>
      <c r="R277" s="91"/>
    </row>
    <row r="278" spans="1:18" x14ac:dyDescent="0.25">
      <c r="A278" s="90" t="str">
        <f t="shared" si="4"/>
        <v>Western AustraliaCompletions45444Initial</v>
      </c>
      <c r="B278" s="199">
        <v>277</v>
      </c>
      <c r="C278" s="198" t="s">
        <v>9</v>
      </c>
      <c r="D278" s="198" t="s">
        <v>74</v>
      </c>
      <c r="E278">
        <v>2024.4</v>
      </c>
      <c r="F278">
        <v>121</v>
      </c>
      <c r="G278" s="65">
        <v>45444</v>
      </c>
      <c r="H278">
        <v>2490</v>
      </c>
      <c r="I278">
        <v>0</v>
      </c>
      <c r="J278" s="198" t="s">
        <v>30</v>
      </c>
      <c r="K278">
        <v>2464</v>
      </c>
      <c r="L278">
        <v>2516</v>
      </c>
      <c r="M278">
        <v>2486</v>
      </c>
      <c r="N278">
        <v>100.2</v>
      </c>
      <c r="O278" s="198" t="s">
        <v>27</v>
      </c>
      <c r="P278">
        <v>2468</v>
      </c>
      <c r="Q278">
        <v>0</v>
      </c>
      <c r="R278" s="91"/>
    </row>
    <row r="279" spans="1:18" x14ac:dyDescent="0.25">
      <c r="A279" s="90" t="str">
        <f t="shared" si="4"/>
        <v>Western AustraliaCompletions454441st revision</v>
      </c>
      <c r="B279" s="199">
        <v>278</v>
      </c>
      <c r="C279" s="198" t="s">
        <v>9</v>
      </c>
      <c r="D279" s="198" t="s">
        <v>74</v>
      </c>
      <c r="E279">
        <v>2024.4</v>
      </c>
      <c r="F279">
        <v>122</v>
      </c>
      <c r="G279" s="65">
        <v>45444</v>
      </c>
      <c r="H279">
        <v>2491</v>
      </c>
      <c r="I279">
        <v>0</v>
      </c>
      <c r="J279" s="198" t="s">
        <v>0</v>
      </c>
      <c r="K279">
        <v>2481</v>
      </c>
      <c r="L279">
        <v>2501</v>
      </c>
      <c r="M279">
        <v>2486</v>
      </c>
      <c r="N279">
        <v>100.2</v>
      </c>
      <c r="O279" s="198" t="s">
        <v>27</v>
      </c>
      <c r="P279">
        <v>2483</v>
      </c>
      <c r="Q279">
        <v>0</v>
      </c>
      <c r="R279" s="91"/>
    </row>
    <row r="280" spans="1:18" x14ac:dyDescent="0.25">
      <c r="A280" s="90" t="str">
        <f t="shared" si="4"/>
        <v>Western AustraliaCompletions45536Initial</v>
      </c>
      <c r="B280" s="199">
        <v>279</v>
      </c>
      <c r="C280" s="198" t="s">
        <v>9</v>
      </c>
      <c r="D280" s="198" t="s">
        <v>74</v>
      </c>
      <c r="E280">
        <v>2025.1</v>
      </c>
      <c r="F280">
        <v>122</v>
      </c>
      <c r="G280" s="65">
        <v>45536</v>
      </c>
      <c r="H280">
        <v>2895</v>
      </c>
      <c r="I280">
        <v>0</v>
      </c>
      <c r="J280" s="198" t="s">
        <v>30</v>
      </c>
      <c r="K280">
        <v>2866</v>
      </c>
      <c r="L280">
        <v>2924</v>
      </c>
      <c r="M280">
        <v>2876</v>
      </c>
      <c r="N280">
        <v>100.7</v>
      </c>
      <c r="O280" s="198" t="s">
        <v>27</v>
      </c>
      <c r="P280">
        <v>2871</v>
      </c>
      <c r="Q280">
        <v>0</v>
      </c>
      <c r="R280" s="91"/>
    </row>
    <row r="281" spans="1:18" x14ac:dyDescent="0.25">
      <c r="A281" s="90" t="str">
        <f t="shared" si="4"/>
        <v>Western AustraliaCompletions455361st revision</v>
      </c>
      <c r="B281" s="199">
        <v>280</v>
      </c>
      <c r="C281" s="198" t="s">
        <v>9</v>
      </c>
      <c r="D281" s="198" t="s">
        <v>74</v>
      </c>
      <c r="E281">
        <v>2025.1</v>
      </c>
      <c r="F281">
        <v>123</v>
      </c>
      <c r="G281" s="65">
        <v>45536</v>
      </c>
      <c r="H281">
        <v>2890</v>
      </c>
      <c r="I281">
        <v>0</v>
      </c>
      <c r="J281" s="198" t="s">
        <v>0</v>
      </c>
      <c r="K281">
        <v>2878</v>
      </c>
      <c r="L281">
        <v>2902</v>
      </c>
      <c r="M281">
        <v>2876</v>
      </c>
      <c r="N281">
        <v>100.5</v>
      </c>
      <c r="O281" s="198" t="s">
        <v>27</v>
      </c>
      <c r="P281">
        <v>2881</v>
      </c>
      <c r="Q281">
        <v>0</v>
      </c>
      <c r="R281" s="91"/>
    </row>
    <row r="282" spans="1:18" x14ac:dyDescent="0.25">
      <c r="A282" s="90" t="str">
        <f t="shared" si="4"/>
        <v>Western AustraliaIn-training44896Initial</v>
      </c>
      <c r="B282" s="199">
        <v>281</v>
      </c>
      <c r="C282" s="198" t="s">
        <v>9</v>
      </c>
      <c r="D282" s="198" t="s">
        <v>75</v>
      </c>
      <c r="E282">
        <v>2023.2</v>
      </c>
      <c r="F282">
        <v>115</v>
      </c>
      <c r="G282" s="65">
        <v>44896</v>
      </c>
      <c r="H282">
        <v>44304</v>
      </c>
      <c r="I282">
        <v>0</v>
      </c>
      <c r="J282" s="198" t="s">
        <v>30</v>
      </c>
      <c r="K282">
        <v>44101</v>
      </c>
      <c r="L282">
        <v>44507</v>
      </c>
      <c r="M282">
        <v>44062</v>
      </c>
      <c r="N282">
        <v>100.5</v>
      </c>
      <c r="O282" s="198" t="s">
        <v>26</v>
      </c>
      <c r="P282">
        <v>44107</v>
      </c>
      <c r="Q282">
        <v>0</v>
      </c>
      <c r="R282" s="91"/>
    </row>
    <row r="283" spans="1:18" x14ac:dyDescent="0.25">
      <c r="A283" s="90" t="str">
        <f t="shared" si="4"/>
        <v>Western AustraliaIn-training448961st revision</v>
      </c>
      <c r="B283" s="199">
        <v>282</v>
      </c>
      <c r="C283" s="198" t="s">
        <v>9</v>
      </c>
      <c r="D283" s="198" t="s">
        <v>75</v>
      </c>
      <c r="E283">
        <v>2023.2</v>
      </c>
      <c r="F283">
        <v>116</v>
      </c>
      <c r="G283" s="65">
        <v>44896</v>
      </c>
      <c r="H283">
        <v>44279</v>
      </c>
      <c r="I283">
        <v>0</v>
      </c>
      <c r="J283" s="198" t="s">
        <v>0</v>
      </c>
      <c r="K283">
        <v>44141</v>
      </c>
      <c r="L283">
        <v>44417</v>
      </c>
      <c r="M283">
        <v>44062</v>
      </c>
      <c r="N283">
        <v>100.5</v>
      </c>
      <c r="O283" s="198" t="s">
        <v>26</v>
      </c>
      <c r="P283">
        <v>44078</v>
      </c>
      <c r="Q283">
        <v>0</v>
      </c>
      <c r="R283" s="91"/>
    </row>
    <row r="284" spans="1:18" x14ac:dyDescent="0.25">
      <c r="A284" s="90" t="str">
        <f t="shared" si="4"/>
        <v>Western AustraliaIn-training44986Initial</v>
      </c>
      <c r="B284" s="199">
        <v>283</v>
      </c>
      <c r="C284" s="198" t="s">
        <v>9</v>
      </c>
      <c r="D284" s="198" t="s">
        <v>75</v>
      </c>
      <c r="E284">
        <v>2023.3</v>
      </c>
      <c r="F284">
        <v>116</v>
      </c>
      <c r="G284" s="65">
        <v>44986</v>
      </c>
      <c r="H284">
        <v>45369</v>
      </c>
      <c r="I284">
        <v>0</v>
      </c>
      <c r="J284" s="198" t="s">
        <v>30</v>
      </c>
      <c r="K284">
        <v>45105</v>
      </c>
      <c r="L284">
        <v>45633</v>
      </c>
      <c r="M284">
        <v>45090</v>
      </c>
      <c r="N284">
        <v>100.6</v>
      </c>
      <c r="O284" s="198" t="s">
        <v>26</v>
      </c>
      <c r="P284">
        <v>45115</v>
      </c>
      <c r="Q284">
        <v>0</v>
      </c>
      <c r="R284" s="91"/>
    </row>
    <row r="285" spans="1:18" x14ac:dyDescent="0.25">
      <c r="A285" s="90" t="str">
        <f t="shared" si="4"/>
        <v>Western AustraliaIn-training449861st revision</v>
      </c>
      <c r="B285" s="199">
        <v>284</v>
      </c>
      <c r="C285" s="198" t="s">
        <v>9</v>
      </c>
      <c r="D285" s="198" t="s">
        <v>75</v>
      </c>
      <c r="E285">
        <v>2023.3</v>
      </c>
      <c r="F285">
        <v>117</v>
      </c>
      <c r="G285" s="65">
        <v>44986</v>
      </c>
      <c r="H285">
        <v>45282</v>
      </c>
      <c r="I285">
        <v>0</v>
      </c>
      <c r="J285" s="198" t="s">
        <v>0</v>
      </c>
      <c r="K285">
        <v>45116</v>
      </c>
      <c r="L285">
        <v>45448</v>
      </c>
      <c r="M285">
        <v>45090</v>
      </c>
      <c r="N285">
        <v>100.4</v>
      </c>
      <c r="O285" s="198" t="s">
        <v>26</v>
      </c>
      <c r="P285">
        <v>45098</v>
      </c>
      <c r="Q285">
        <v>0</v>
      </c>
      <c r="R285" s="91"/>
    </row>
    <row r="286" spans="1:18" x14ac:dyDescent="0.25">
      <c r="A286" s="90" t="str">
        <f t="shared" si="4"/>
        <v>Western AustraliaIn-training45078Initial</v>
      </c>
      <c r="B286" s="199">
        <v>285</v>
      </c>
      <c r="C286" s="198" t="s">
        <v>9</v>
      </c>
      <c r="D286" s="198" t="s">
        <v>75</v>
      </c>
      <c r="E286">
        <v>2023.4</v>
      </c>
      <c r="F286">
        <v>117</v>
      </c>
      <c r="G286" s="65">
        <v>45078</v>
      </c>
      <c r="H286">
        <v>44704</v>
      </c>
      <c r="I286">
        <v>0</v>
      </c>
      <c r="J286" s="198" t="s">
        <v>30</v>
      </c>
      <c r="K286">
        <v>44460</v>
      </c>
      <c r="L286">
        <v>44948</v>
      </c>
      <c r="M286">
        <v>44426</v>
      </c>
      <c r="N286">
        <v>100.6</v>
      </c>
      <c r="O286" s="198" t="s">
        <v>26</v>
      </c>
      <c r="P286">
        <v>44439</v>
      </c>
      <c r="Q286">
        <v>0</v>
      </c>
      <c r="R286" s="91"/>
    </row>
    <row r="287" spans="1:18" x14ac:dyDescent="0.25">
      <c r="A287" s="90" t="str">
        <f t="shared" si="4"/>
        <v>Western AustraliaIn-training450781st revision</v>
      </c>
      <c r="B287" s="199">
        <v>286</v>
      </c>
      <c r="C287" s="198" t="s">
        <v>9</v>
      </c>
      <c r="D287" s="198" t="s">
        <v>75</v>
      </c>
      <c r="E287">
        <v>2023.4</v>
      </c>
      <c r="F287">
        <v>118</v>
      </c>
      <c r="G287" s="65">
        <v>45078</v>
      </c>
      <c r="H287">
        <v>44662</v>
      </c>
      <c r="I287">
        <v>0</v>
      </c>
      <c r="J287" s="198" t="s">
        <v>0</v>
      </c>
      <c r="K287">
        <v>44480</v>
      </c>
      <c r="L287">
        <v>44844</v>
      </c>
      <c r="M287">
        <v>44426</v>
      </c>
      <c r="N287">
        <v>100.5</v>
      </c>
      <c r="O287" s="198" t="s">
        <v>26</v>
      </c>
      <c r="P287">
        <v>44435</v>
      </c>
      <c r="Q287">
        <v>0</v>
      </c>
      <c r="R287" s="91"/>
    </row>
    <row r="288" spans="1:18" x14ac:dyDescent="0.25">
      <c r="A288" s="90" t="str">
        <f t="shared" si="4"/>
        <v>Western AustraliaIn-training45170Initial</v>
      </c>
      <c r="B288" s="199">
        <v>287</v>
      </c>
      <c r="C288" s="198" t="s">
        <v>9</v>
      </c>
      <c r="D288" s="198" t="s">
        <v>75</v>
      </c>
      <c r="E288">
        <v>2024.1</v>
      </c>
      <c r="F288">
        <v>118</v>
      </c>
      <c r="G288" s="65">
        <v>45170</v>
      </c>
      <c r="H288">
        <v>43199</v>
      </c>
      <c r="I288">
        <v>0</v>
      </c>
      <c r="J288" s="198" t="s">
        <v>30</v>
      </c>
      <c r="K288">
        <v>42949</v>
      </c>
      <c r="L288">
        <v>43449</v>
      </c>
      <c r="M288">
        <v>42897</v>
      </c>
      <c r="N288">
        <v>100.7</v>
      </c>
      <c r="O288" s="198" t="s">
        <v>26</v>
      </c>
      <c r="P288">
        <v>42930</v>
      </c>
      <c r="Q288">
        <v>0</v>
      </c>
      <c r="R288" s="91"/>
    </row>
    <row r="289" spans="1:18" x14ac:dyDescent="0.25">
      <c r="A289" s="90" t="str">
        <f t="shared" si="4"/>
        <v>Western AustraliaIn-training451701st revision</v>
      </c>
      <c r="B289" s="199">
        <v>288</v>
      </c>
      <c r="C289" s="198" t="s">
        <v>9</v>
      </c>
      <c r="D289" s="198" t="s">
        <v>75</v>
      </c>
      <c r="E289">
        <v>2024.1</v>
      </c>
      <c r="F289">
        <v>119</v>
      </c>
      <c r="G289" s="65">
        <v>45170</v>
      </c>
      <c r="H289">
        <v>43100</v>
      </c>
      <c r="I289">
        <v>0</v>
      </c>
      <c r="J289" s="198" t="s">
        <v>0</v>
      </c>
      <c r="K289">
        <v>42971</v>
      </c>
      <c r="L289">
        <v>43229</v>
      </c>
      <c r="M289">
        <v>42897</v>
      </c>
      <c r="N289">
        <v>100.5</v>
      </c>
      <c r="O289" s="198" t="s">
        <v>26</v>
      </c>
      <c r="P289">
        <v>42916</v>
      </c>
      <c r="Q289">
        <v>0</v>
      </c>
      <c r="R289" s="91"/>
    </row>
    <row r="290" spans="1:18" x14ac:dyDescent="0.25">
      <c r="A290" s="90" t="e">
        <f>CONCATENATE(#REF!,#REF!,#REF!,#REF!)</f>
        <v>#REF!</v>
      </c>
      <c r="R290" s="91"/>
    </row>
    <row r="291" spans="1:18" x14ac:dyDescent="0.25">
      <c r="A291" s="90" t="e">
        <f>CONCATENATE(#REF!,#REF!,#REF!,#REF!)</f>
        <v>#REF!</v>
      </c>
      <c r="R291" s="91"/>
    </row>
    <row r="292" spans="1:18" x14ac:dyDescent="0.25">
      <c r="A292" s="90" t="e">
        <f>CONCATENATE(#REF!,#REF!,#REF!,#REF!)</f>
        <v>#REF!</v>
      </c>
      <c r="R292" s="91"/>
    </row>
    <row r="293" spans="1:18" x14ac:dyDescent="0.25">
      <c r="A293" s="90" t="e">
        <f>CONCATENATE(#REF!,#REF!,#REF!,#REF!)</f>
        <v>#REF!</v>
      </c>
      <c r="R293" s="91"/>
    </row>
    <row r="294" spans="1:18" x14ac:dyDescent="0.25">
      <c r="A294" s="90" t="e">
        <f>CONCATENATE(#REF!,#REF!,#REF!,#REF!)</f>
        <v>#REF!</v>
      </c>
      <c r="R294" s="91"/>
    </row>
    <row r="295" spans="1:18" x14ac:dyDescent="0.25">
      <c r="A295" s="90" t="e">
        <f>CONCATENATE(#REF!,#REF!,#REF!,#REF!)</f>
        <v>#REF!</v>
      </c>
      <c r="R295" s="91"/>
    </row>
    <row r="296" spans="1:18" x14ac:dyDescent="0.25">
      <c r="A296" s="90" t="e">
        <f>CONCATENATE(#REF!,#REF!,#REF!,#REF!)</f>
        <v>#REF!</v>
      </c>
      <c r="R296" s="91"/>
    </row>
    <row r="297" spans="1:18" x14ac:dyDescent="0.25">
      <c r="A297" s="90" t="e">
        <f>CONCATENATE(#REF!,#REF!,#REF!,#REF!)</f>
        <v>#REF!</v>
      </c>
      <c r="R297" s="91"/>
    </row>
    <row r="298" spans="1:18" x14ac:dyDescent="0.25">
      <c r="A298" s="90" t="e">
        <f>CONCATENATE(#REF!,#REF!,#REF!,#REF!)</f>
        <v>#REF!</v>
      </c>
      <c r="R298" s="91"/>
    </row>
    <row r="299" spans="1:18" x14ac:dyDescent="0.25">
      <c r="A299" s="90" t="e">
        <f>CONCATENATE(#REF!,#REF!,#REF!,#REF!)</f>
        <v>#REF!</v>
      </c>
      <c r="R299" s="91"/>
    </row>
    <row r="300" spans="1:18" x14ac:dyDescent="0.25">
      <c r="A300" s="90" t="e">
        <f>CONCATENATE(#REF!,#REF!,#REF!,#REF!)</f>
        <v>#REF!</v>
      </c>
      <c r="R300" s="91"/>
    </row>
    <row r="301" spans="1:18" x14ac:dyDescent="0.25">
      <c r="A301" s="90" t="e">
        <f>CONCATENATE(#REF!,#REF!,#REF!,#REF!)</f>
        <v>#REF!</v>
      </c>
      <c r="R301" s="91"/>
    </row>
    <row r="302" spans="1:18" x14ac:dyDescent="0.25">
      <c r="A302" s="90" t="e">
        <f>CONCATENATE(#REF!,#REF!,#REF!,#REF!)</f>
        <v>#REF!</v>
      </c>
      <c r="R302" s="91"/>
    </row>
    <row r="303" spans="1:18" x14ac:dyDescent="0.25">
      <c r="A303" s="90" t="e">
        <f>CONCATENATE(#REF!,#REF!,#REF!,#REF!)</f>
        <v>#REF!</v>
      </c>
      <c r="R303" s="91"/>
    </row>
    <row r="304" spans="1:18" x14ac:dyDescent="0.25">
      <c r="A304" s="90" t="e">
        <f>CONCATENATE(#REF!,#REF!,#REF!,#REF!)</f>
        <v>#REF!</v>
      </c>
      <c r="R304" s="91"/>
    </row>
    <row r="305" spans="1:18" x14ac:dyDescent="0.25">
      <c r="A305" s="90" t="e">
        <f>CONCATENATE(#REF!,#REF!,#REF!,#REF!)</f>
        <v>#REF!</v>
      </c>
      <c r="R305" s="91"/>
    </row>
    <row r="306" spans="1:18" x14ac:dyDescent="0.25">
      <c r="A306" s="90" t="e">
        <f>CONCATENATE(#REF!,#REF!,#REF!,#REF!)</f>
        <v>#REF!</v>
      </c>
      <c r="R306" s="91"/>
    </row>
    <row r="307" spans="1:18" x14ac:dyDescent="0.25">
      <c r="A307" s="90" t="e">
        <f>CONCATENATE(#REF!,#REF!,#REF!,#REF!)</f>
        <v>#REF!</v>
      </c>
      <c r="R307" s="91"/>
    </row>
    <row r="308" spans="1:18" x14ac:dyDescent="0.25">
      <c r="A308" s="90" t="e">
        <f>CONCATENATE(#REF!,#REF!,#REF!,#REF!)</f>
        <v>#REF!</v>
      </c>
      <c r="R308" s="91"/>
    </row>
    <row r="309" spans="1:18" x14ac:dyDescent="0.25">
      <c r="A309" s="90" t="e">
        <f>CONCATENATE(#REF!,#REF!,#REF!,#REF!)</f>
        <v>#REF!</v>
      </c>
      <c r="R309" s="91"/>
    </row>
    <row r="310" spans="1:18" x14ac:dyDescent="0.25">
      <c r="A310" s="90" t="e">
        <f>CONCATENATE(#REF!,#REF!,#REF!,#REF!)</f>
        <v>#REF!</v>
      </c>
      <c r="R310" s="91"/>
    </row>
    <row r="311" spans="1:18" x14ac:dyDescent="0.25">
      <c r="A311" s="90" t="e">
        <f>CONCATENATE(#REF!,#REF!,#REF!,#REF!)</f>
        <v>#REF!</v>
      </c>
      <c r="R311" s="91"/>
    </row>
    <row r="312" spans="1:18" x14ac:dyDescent="0.25">
      <c r="A312" s="90" t="e">
        <f>CONCATENATE(#REF!,#REF!,#REF!,#REF!)</f>
        <v>#REF!</v>
      </c>
      <c r="R312" s="91"/>
    </row>
    <row r="313" spans="1:18" x14ac:dyDescent="0.25">
      <c r="A313" s="90" t="e">
        <f>CONCATENATE(#REF!,#REF!,#REF!,#REF!)</f>
        <v>#REF!</v>
      </c>
      <c r="R313" s="91"/>
    </row>
    <row r="314" spans="1:18" x14ac:dyDescent="0.25">
      <c r="A314" s="90" t="e">
        <f>CONCATENATE(#REF!,#REF!,#REF!,#REF!)</f>
        <v>#REF!</v>
      </c>
      <c r="R314" s="91"/>
    </row>
    <row r="315" spans="1:18" x14ac:dyDescent="0.25">
      <c r="A315" s="90" t="e">
        <f>CONCATENATE(#REF!,#REF!,#REF!,#REF!)</f>
        <v>#REF!</v>
      </c>
      <c r="R315" s="91"/>
    </row>
    <row r="316" spans="1:18" x14ac:dyDescent="0.25">
      <c r="A316" s="90" t="e">
        <f>CONCATENATE(#REF!,#REF!,#REF!,#REF!)</f>
        <v>#REF!</v>
      </c>
      <c r="R316" s="91"/>
    </row>
    <row r="317" spans="1:18" x14ac:dyDescent="0.25">
      <c r="A317" s="90" t="e">
        <f>CONCATENATE(#REF!,#REF!,#REF!,#REF!)</f>
        <v>#REF!</v>
      </c>
      <c r="R317" s="91"/>
    </row>
    <row r="318" spans="1:18" x14ac:dyDescent="0.25">
      <c r="A318" s="90" t="e">
        <f>CONCATENATE(#REF!,#REF!,#REF!,#REF!)</f>
        <v>#REF!</v>
      </c>
      <c r="R318" s="91"/>
    </row>
    <row r="319" spans="1:18" x14ac:dyDescent="0.25">
      <c r="A319" s="90" t="e">
        <f>CONCATENATE(#REF!,#REF!,#REF!,#REF!)</f>
        <v>#REF!</v>
      </c>
      <c r="R319" s="91"/>
    </row>
    <row r="320" spans="1:18" x14ac:dyDescent="0.25">
      <c r="A320" s="90" t="e">
        <f>CONCATENATE(#REF!,#REF!,#REF!,#REF!)</f>
        <v>#REF!</v>
      </c>
      <c r="R320" s="91"/>
    </row>
    <row r="321" spans="1:18" x14ac:dyDescent="0.25">
      <c r="A321" s="90" t="e">
        <f>CONCATENATE(#REF!,#REF!,#REF!,#REF!)</f>
        <v>#REF!</v>
      </c>
      <c r="R321" s="91"/>
    </row>
    <row r="322" spans="1:18" x14ac:dyDescent="0.25">
      <c r="A322" s="90" t="e">
        <f>CONCATENATE(#REF!,#REF!,#REF!,#REF!)</f>
        <v>#REF!</v>
      </c>
      <c r="R322" s="91"/>
    </row>
    <row r="323" spans="1:18" x14ac:dyDescent="0.25">
      <c r="A323" s="90" t="e">
        <f>CONCATENATE(#REF!,#REF!,#REF!,#REF!)</f>
        <v>#REF!</v>
      </c>
      <c r="R323" s="91"/>
    </row>
    <row r="324" spans="1:18" x14ac:dyDescent="0.25">
      <c r="A324" s="90" t="e">
        <f>CONCATENATE(#REF!,#REF!,#REF!,#REF!)</f>
        <v>#REF!</v>
      </c>
      <c r="R324" s="91"/>
    </row>
    <row r="325" spans="1:18" x14ac:dyDescent="0.25">
      <c r="A325" s="90" t="e">
        <f>CONCATENATE(#REF!,#REF!,#REF!,#REF!)</f>
        <v>#REF!</v>
      </c>
      <c r="R325" s="91"/>
    </row>
    <row r="326" spans="1:18" x14ac:dyDescent="0.25">
      <c r="A326" s="90" t="e">
        <f>CONCATENATE(#REF!,#REF!,#REF!,#REF!)</f>
        <v>#REF!</v>
      </c>
      <c r="R326" s="91"/>
    </row>
    <row r="327" spans="1:18" x14ac:dyDescent="0.25">
      <c r="A327" s="90" t="e">
        <f>CONCATENATE(#REF!,#REF!,#REF!,#REF!)</f>
        <v>#REF!</v>
      </c>
      <c r="R327" s="91"/>
    </row>
    <row r="328" spans="1:18" x14ac:dyDescent="0.25">
      <c r="A328" s="90" t="e">
        <f>CONCATENATE(#REF!,#REF!,#REF!,#REF!)</f>
        <v>#REF!</v>
      </c>
      <c r="R328" s="91"/>
    </row>
    <row r="329" spans="1:18" x14ac:dyDescent="0.25">
      <c r="A329" s="90" t="e">
        <f>CONCATENATE(#REF!,#REF!,#REF!,#REF!)</f>
        <v>#REF!</v>
      </c>
      <c r="R329" s="91"/>
    </row>
    <row r="330" spans="1:18" x14ac:dyDescent="0.25">
      <c r="A330" s="90" t="e">
        <f>CONCATENATE(#REF!,#REF!,#REF!,#REF!)</f>
        <v>#REF!</v>
      </c>
      <c r="R330" s="91"/>
    </row>
    <row r="331" spans="1:18" x14ac:dyDescent="0.25">
      <c r="A331" s="90" t="e">
        <f>CONCATENATE(#REF!,#REF!,#REF!,#REF!)</f>
        <v>#REF!</v>
      </c>
      <c r="R331" s="91"/>
    </row>
    <row r="332" spans="1:18" x14ac:dyDescent="0.25">
      <c r="A332" s="90" t="e">
        <f>CONCATENATE(#REF!,#REF!,#REF!,#REF!)</f>
        <v>#REF!</v>
      </c>
      <c r="R332" s="91"/>
    </row>
    <row r="333" spans="1:18" x14ac:dyDescent="0.25">
      <c r="A333" s="90" t="e">
        <f>CONCATENATE(#REF!,#REF!,#REF!,#REF!)</f>
        <v>#REF!</v>
      </c>
      <c r="R333" s="91"/>
    </row>
    <row r="334" spans="1:18" x14ac:dyDescent="0.25">
      <c r="A334" s="90" t="e">
        <f>CONCATENATE(#REF!,#REF!,#REF!,#REF!)</f>
        <v>#REF!</v>
      </c>
      <c r="R334" s="91"/>
    </row>
    <row r="335" spans="1:18" x14ac:dyDescent="0.25">
      <c r="A335" s="90" t="e">
        <f>CONCATENATE(#REF!,#REF!,#REF!,#REF!)</f>
        <v>#REF!</v>
      </c>
      <c r="R335" s="91"/>
    </row>
    <row r="336" spans="1:18" x14ac:dyDescent="0.25">
      <c r="A336" s="90" t="e">
        <f>CONCATENATE(#REF!,#REF!,#REF!,#REF!)</f>
        <v>#REF!</v>
      </c>
      <c r="R336" s="91"/>
    </row>
    <row r="337" spans="1:18" x14ac:dyDescent="0.25">
      <c r="A337" s="90" t="e">
        <f>CONCATENATE(#REF!,#REF!,#REF!,#REF!)</f>
        <v>#REF!</v>
      </c>
      <c r="R337" s="91"/>
    </row>
    <row r="338" spans="1:18" x14ac:dyDescent="0.25">
      <c r="A338" s="90" t="e">
        <f>CONCATENATE(#REF!,#REF!,#REF!,#REF!)</f>
        <v>#REF!</v>
      </c>
      <c r="R338" s="91"/>
    </row>
    <row r="339" spans="1:18" x14ac:dyDescent="0.25">
      <c r="A339" s="90" t="e">
        <f>CONCATENATE(#REF!,#REF!,#REF!,#REF!)</f>
        <v>#REF!</v>
      </c>
      <c r="R339" s="91"/>
    </row>
    <row r="340" spans="1:18" x14ac:dyDescent="0.25">
      <c r="A340" s="90" t="e">
        <f>CONCATENATE(#REF!,#REF!,#REF!,#REF!)</f>
        <v>#REF!</v>
      </c>
      <c r="R340" s="91"/>
    </row>
    <row r="341" spans="1:18" x14ac:dyDescent="0.25">
      <c r="A341" s="90" t="e">
        <f>CONCATENATE(#REF!,#REF!,#REF!,#REF!)</f>
        <v>#REF!</v>
      </c>
      <c r="R341" s="91"/>
    </row>
    <row r="342" spans="1:18" x14ac:dyDescent="0.25">
      <c r="A342" s="90" t="e">
        <f>CONCATENATE(#REF!,#REF!,#REF!,#REF!)</f>
        <v>#REF!</v>
      </c>
      <c r="R342" s="91"/>
    </row>
    <row r="343" spans="1:18" x14ac:dyDescent="0.25">
      <c r="A343" s="90" t="e">
        <f>CONCATENATE(#REF!,#REF!,#REF!,#REF!)</f>
        <v>#REF!</v>
      </c>
      <c r="R343" s="91"/>
    </row>
    <row r="344" spans="1:18" x14ac:dyDescent="0.25">
      <c r="A344" s="90" t="e">
        <f>CONCATENATE(#REF!,#REF!,#REF!,#REF!)</f>
        <v>#REF!</v>
      </c>
      <c r="R344" s="91"/>
    </row>
    <row r="345" spans="1:18" x14ac:dyDescent="0.25">
      <c r="A345" s="90" t="e">
        <f>CONCATENATE(#REF!,#REF!,#REF!,#REF!)</f>
        <v>#REF!</v>
      </c>
      <c r="R345" s="91"/>
    </row>
    <row r="346" spans="1:18" x14ac:dyDescent="0.25">
      <c r="A346" s="90" t="e">
        <f>CONCATENATE(#REF!,#REF!,#REF!,#REF!)</f>
        <v>#REF!</v>
      </c>
      <c r="R346" s="91"/>
    </row>
    <row r="347" spans="1:18" x14ac:dyDescent="0.25">
      <c r="A347" s="90" t="e">
        <f>CONCATENATE(#REF!,#REF!,#REF!,#REF!)</f>
        <v>#REF!</v>
      </c>
      <c r="R347" s="91"/>
    </row>
    <row r="348" spans="1:18" x14ac:dyDescent="0.25">
      <c r="A348" s="90" t="e">
        <f>CONCATENATE(#REF!,#REF!,#REF!,#REF!)</f>
        <v>#REF!</v>
      </c>
      <c r="R348" s="91"/>
    </row>
    <row r="349" spans="1:18" x14ac:dyDescent="0.25">
      <c r="A349" s="90" t="e">
        <f>CONCATENATE(#REF!,#REF!,#REF!,#REF!)</f>
        <v>#REF!</v>
      </c>
      <c r="R349" s="91"/>
    </row>
    <row r="350" spans="1:18" x14ac:dyDescent="0.25">
      <c r="A350" s="90" t="e">
        <f>CONCATENATE(#REF!,#REF!,#REF!,#REF!)</f>
        <v>#REF!</v>
      </c>
      <c r="R350" s="91"/>
    </row>
    <row r="351" spans="1:18" x14ac:dyDescent="0.25">
      <c r="A351" s="90" t="e">
        <f>CONCATENATE(#REF!,#REF!,#REF!,#REF!)</f>
        <v>#REF!</v>
      </c>
      <c r="R351" s="91"/>
    </row>
    <row r="352" spans="1:18" x14ac:dyDescent="0.25">
      <c r="A352" s="90" t="e">
        <f>CONCATENATE(#REF!,#REF!,#REF!,#REF!)</f>
        <v>#REF!</v>
      </c>
      <c r="R352" s="91"/>
    </row>
    <row r="353" spans="1:18" x14ac:dyDescent="0.25">
      <c r="A353" s="90" t="e">
        <f>CONCATENATE(#REF!,#REF!,#REF!,#REF!)</f>
        <v>#REF!</v>
      </c>
      <c r="R353" s="91"/>
    </row>
    <row r="354" spans="1:18" x14ac:dyDescent="0.25">
      <c r="A354" s="90" t="e">
        <f>CONCATENATE(#REF!,#REF!,#REF!,#REF!)</f>
        <v>#REF!</v>
      </c>
      <c r="R354" s="91"/>
    </row>
    <row r="355" spans="1:18" x14ac:dyDescent="0.25">
      <c r="A355" s="90" t="e">
        <f>CONCATENATE(#REF!,#REF!,#REF!,#REF!)</f>
        <v>#REF!</v>
      </c>
      <c r="R355" s="91"/>
    </row>
    <row r="356" spans="1:18" x14ac:dyDescent="0.25">
      <c r="A356" s="90" t="e">
        <f>CONCATENATE(#REF!,#REF!,#REF!,#REF!)</f>
        <v>#REF!</v>
      </c>
      <c r="R356" s="91"/>
    </row>
    <row r="357" spans="1:18" x14ac:dyDescent="0.25">
      <c r="A357" s="90" t="e">
        <f>CONCATENATE(#REF!,#REF!,#REF!,#REF!)</f>
        <v>#REF!</v>
      </c>
      <c r="R357" s="91"/>
    </row>
    <row r="358" spans="1:18" x14ac:dyDescent="0.25">
      <c r="A358" s="90" t="e">
        <f>CONCATENATE(#REF!,#REF!,#REF!,#REF!)</f>
        <v>#REF!</v>
      </c>
      <c r="R358" s="91"/>
    </row>
    <row r="359" spans="1:18" x14ac:dyDescent="0.25">
      <c r="A359" s="90" t="e">
        <f>CONCATENATE(#REF!,#REF!,#REF!,#REF!)</f>
        <v>#REF!</v>
      </c>
      <c r="R359" s="91"/>
    </row>
    <row r="360" spans="1:18" x14ac:dyDescent="0.25">
      <c r="A360" s="90" t="e">
        <f>CONCATENATE(#REF!,#REF!,#REF!,#REF!)</f>
        <v>#REF!</v>
      </c>
      <c r="R360" s="91"/>
    </row>
    <row r="361" spans="1:18" x14ac:dyDescent="0.25">
      <c r="A361" s="90" t="e">
        <f>CONCATENATE(#REF!,#REF!,#REF!,#REF!)</f>
        <v>#REF!</v>
      </c>
      <c r="R361" s="91"/>
    </row>
    <row r="362" spans="1:18" x14ac:dyDescent="0.25">
      <c r="A362" s="90" t="e">
        <f>CONCATENATE(#REF!,#REF!,#REF!,#REF!)</f>
        <v>#REF!</v>
      </c>
      <c r="R362" s="91"/>
    </row>
    <row r="363" spans="1:18" x14ac:dyDescent="0.25">
      <c r="A363" s="90" t="e">
        <f>CONCATENATE(#REF!,#REF!,#REF!,#REF!)</f>
        <v>#REF!</v>
      </c>
      <c r="R363" s="91"/>
    </row>
    <row r="364" spans="1:18" x14ac:dyDescent="0.25">
      <c r="A364" s="90" t="e">
        <f>CONCATENATE(#REF!,#REF!,#REF!,#REF!)</f>
        <v>#REF!</v>
      </c>
      <c r="R364" s="91"/>
    </row>
    <row r="365" spans="1:18" x14ac:dyDescent="0.25">
      <c r="A365" s="90" t="e">
        <f>CONCATENATE(#REF!,#REF!,#REF!,#REF!)</f>
        <v>#REF!</v>
      </c>
      <c r="R365" s="91"/>
    </row>
    <row r="366" spans="1:18" x14ac:dyDescent="0.25">
      <c r="A366" s="90" t="e">
        <f>CONCATENATE(#REF!,#REF!,#REF!,#REF!)</f>
        <v>#REF!</v>
      </c>
      <c r="R366" s="91"/>
    </row>
    <row r="367" spans="1:18" x14ac:dyDescent="0.25">
      <c r="A367" s="90" t="e">
        <f>CONCATENATE(#REF!,#REF!,#REF!,#REF!)</f>
        <v>#REF!</v>
      </c>
      <c r="R367" s="91"/>
    </row>
    <row r="368" spans="1:18" x14ac:dyDescent="0.25">
      <c r="A368" s="90" t="e">
        <f>CONCATENATE(#REF!,#REF!,#REF!,#REF!)</f>
        <v>#REF!</v>
      </c>
      <c r="R368" s="91"/>
    </row>
    <row r="369" spans="1:18" x14ac:dyDescent="0.25">
      <c r="A369" s="90" t="e">
        <f>CONCATENATE(#REF!,#REF!,#REF!,#REF!)</f>
        <v>#REF!</v>
      </c>
      <c r="R369" s="91"/>
    </row>
    <row r="370" spans="1:18" x14ac:dyDescent="0.25">
      <c r="A370" s="90" t="e">
        <f>CONCATENATE(#REF!,#REF!,#REF!,#REF!)</f>
        <v>#REF!</v>
      </c>
      <c r="R370" s="91"/>
    </row>
    <row r="371" spans="1:18" x14ac:dyDescent="0.25">
      <c r="A371" s="90" t="e">
        <f>CONCATENATE(#REF!,#REF!,#REF!,#REF!)</f>
        <v>#REF!</v>
      </c>
      <c r="R371" s="91"/>
    </row>
    <row r="372" spans="1:18" x14ac:dyDescent="0.25">
      <c r="A372" s="90" t="e">
        <f>CONCATENATE(#REF!,#REF!,#REF!,#REF!)</f>
        <v>#REF!</v>
      </c>
      <c r="R372" s="91"/>
    </row>
    <row r="373" spans="1:18" x14ac:dyDescent="0.25">
      <c r="A373" s="90" t="e">
        <f>CONCATENATE(#REF!,#REF!,#REF!,#REF!)</f>
        <v>#REF!</v>
      </c>
      <c r="R373" s="91"/>
    </row>
    <row r="374" spans="1:18" x14ac:dyDescent="0.25">
      <c r="A374" s="90" t="e">
        <f>CONCATENATE(#REF!,#REF!,#REF!,#REF!)</f>
        <v>#REF!</v>
      </c>
      <c r="R374" s="91"/>
    </row>
    <row r="375" spans="1:18" x14ac:dyDescent="0.25">
      <c r="A375" s="90" t="e">
        <f>CONCATENATE(#REF!,#REF!,#REF!,#REF!)</f>
        <v>#REF!</v>
      </c>
      <c r="R375" s="91"/>
    </row>
    <row r="376" spans="1:18" x14ac:dyDescent="0.25">
      <c r="A376" s="90" t="e">
        <f>CONCATENATE(#REF!,#REF!,#REF!,#REF!)</f>
        <v>#REF!</v>
      </c>
      <c r="R376" s="91"/>
    </row>
    <row r="377" spans="1:18" x14ac:dyDescent="0.25">
      <c r="A377" s="90" t="e">
        <f>CONCATENATE(#REF!,#REF!,#REF!,#REF!)</f>
        <v>#REF!</v>
      </c>
      <c r="R377" s="91"/>
    </row>
    <row r="378" spans="1:18" x14ac:dyDescent="0.25">
      <c r="A378" s="90" t="e">
        <f>CONCATENATE(#REF!,#REF!,#REF!,#REF!)</f>
        <v>#REF!</v>
      </c>
      <c r="R378" s="91"/>
    </row>
    <row r="379" spans="1:18" x14ac:dyDescent="0.25">
      <c r="A379" s="90" t="e">
        <f>CONCATENATE(#REF!,#REF!,#REF!,#REF!)</f>
        <v>#REF!</v>
      </c>
      <c r="R379" s="91"/>
    </row>
    <row r="380" spans="1:18" x14ac:dyDescent="0.25">
      <c r="A380" s="90" t="e">
        <f>CONCATENATE(#REF!,#REF!,#REF!,#REF!)</f>
        <v>#REF!</v>
      </c>
      <c r="R380" s="91"/>
    </row>
    <row r="381" spans="1:18" x14ac:dyDescent="0.25">
      <c r="A381" s="90" t="e">
        <f>CONCATENATE(#REF!,#REF!,#REF!,#REF!)</f>
        <v>#REF!</v>
      </c>
      <c r="R381" s="91"/>
    </row>
    <row r="382" spans="1:18" x14ac:dyDescent="0.25">
      <c r="A382" s="90" t="e">
        <f>CONCATENATE(#REF!,#REF!,#REF!,#REF!)</f>
        <v>#REF!</v>
      </c>
      <c r="R382" s="91"/>
    </row>
    <row r="383" spans="1:18" x14ac:dyDescent="0.25">
      <c r="A383" s="90" t="e">
        <f>CONCATENATE(#REF!,#REF!,#REF!,#REF!)</f>
        <v>#REF!</v>
      </c>
      <c r="R383" s="91"/>
    </row>
    <row r="384" spans="1:18" x14ac:dyDescent="0.25">
      <c r="A384" s="90" t="e">
        <f>CONCATENATE(#REF!,#REF!,#REF!,#REF!)</f>
        <v>#REF!</v>
      </c>
      <c r="R384" s="91"/>
    </row>
    <row r="385" spans="1:18" x14ac:dyDescent="0.25">
      <c r="A385" s="90" t="e">
        <f>CONCATENATE(#REF!,#REF!,#REF!,#REF!)</f>
        <v>#REF!</v>
      </c>
      <c r="R385" s="91"/>
    </row>
    <row r="386" spans="1:18" x14ac:dyDescent="0.25">
      <c r="A386" s="90" t="e">
        <f>CONCATENATE(#REF!,#REF!,#REF!,#REF!)</f>
        <v>#REF!</v>
      </c>
      <c r="R386" s="91"/>
    </row>
    <row r="387" spans="1:18" x14ac:dyDescent="0.25">
      <c r="A387" s="90" t="e">
        <f>CONCATENATE(#REF!,#REF!,#REF!,#REF!)</f>
        <v>#REF!</v>
      </c>
      <c r="R387" s="91"/>
    </row>
    <row r="388" spans="1:18" x14ac:dyDescent="0.25">
      <c r="A388" s="90" t="e">
        <f>CONCATENATE(#REF!,#REF!,#REF!,#REF!)</f>
        <v>#REF!</v>
      </c>
      <c r="R388" s="91"/>
    </row>
    <row r="389" spans="1:18" x14ac:dyDescent="0.25">
      <c r="A389" s="90" t="e">
        <f>CONCATENATE(#REF!,#REF!,#REF!,#REF!)</f>
        <v>#REF!</v>
      </c>
      <c r="R389" s="91"/>
    </row>
    <row r="390" spans="1:18" x14ac:dyDescent="0.25">
      <c r="A390" s="90" t="e">
        <f>CONCATENATE(#REF!,#REF!,#REF!,#REF!)</f>
        <v>#REF!</v>
      </c>
      <c r="R390" s="91"/>
    </row>
    <row r="391" spans="1:18" x14ac:dyDescent="0.25">
      <c r="A391" s="90" t="e">
        <f>CONCATENATE(#REF!,#REF!,#REF!,#REF!)</f>
        <v>#REF!</v>
      </c>
      <c r="R391" s="91"/>
    </row>
    <row r="392" spans="1:18" x14ac:dyDescent="0.25">
      <c r="A392" s="90" t="e">
        <f>CONCATENATE(#REF!,#REF!,#REF!,#REF!)</f>
        <v>#REF!</v>
      </c>
      <c r="R392" s="91"/>
    </row>
    <row r="393" spans="1:18" x14ac:dyDescent="0.25">
      <c r="A393" s="90" t="e">
        <f>CONCATENATE(#REF!,#REF!,#REF!,#REF!)</f>
        <v>#REF!</v>
      </c>
      <c r="R393" s="91"/>
    </row>
    <row r="394" spans="1:18" x14ac:dyDescent="0.25">
      <c r="A394" s="90" t="e">
        <f>CONCATENATE(#REF!,#REF!,#REF!,#REF!)</f>
        <v>#REF!</v>
      </c>
      <c r="R394" s="91"/>
    </row>
    <row r="395" spans="1:18" x14ac:dyDescent="0.25">
      <c r="A395" s="90" t="e">
        <f>CONCATENATE(#REF!,#REF!,#REF!,#REF!)</f>
        <v>#REF!</v>
      </c>
      <c r="R395" s="91"/>
    </row>
    <row r="396" spans="1:18" x14ac:dyDescent="0.25">
      <c r="A396" s="90" t="e">
        <f>CONCATENATE(#REF!,#REF!,#REF!,#REF!)</f>
        <v>#REF!</v>
      </c>
      <c r="R396" s="91"/>
    </row>
    <row r="397" spans="1:18" x14ac:dyDescent="0.25">
      <c r="A397" s="90" t="e">
        <f>CONCATENATE(#REF!,#REF!,#REF!,#REF!)</f>
        <v>#REF!</v>
      </c>
      <c r="R397" s="91"/>
    </row>
    <row r="398" spans="1:18" x14ac:dyDescent="0.25">
      <c r="A398" s="90" t="e">
        <f>CONCATENATE(#REF!,#REF!,#REF!,#REF!)</f>
        <v>#REF!</v>
      </c>
      <c r="R398" s="91"/>
    </row>
    <row r="399" spans="1:18" x14ac:dyDescent="0.25">
      <c r="A399" s="90" t="e">
        <f>CONCATENATE(#REF!,#REF!,#REF!,#REF!)</f>
        <v>#REF!</v>
      </c>
      <c r="R399" s="91"/>
    </row>
    <row r="400" spans="1:18" x14ac:dyDescent="0.25">
      <c r="A400" s="90" t="e">
        <f>CONCATENATE(#REF!,#REF!,#REF!,#REF!)</f>
        <v>#REF!</v>
      </c>
      <c r="R400" s="91"/>
    </row>
    <row r="401" spans="1:18" x14ac:dyDescent="0.25">
      <c r="A401" s="90" t="e">
        <f>CONCATENATE(#REF!,#REF!,#REF!,#REF!)</f>
        <v>#REF!</v>
      </c>
      <c r="R401" s="91"/>
    </row>
    <row r="402" spans="1:18" x14ac:dyDescent="0.25">
      <c r="A402" s="90" t="e">
        <f>CONCATENATE(#REF!,#REF!,#REF!,#REF!)</f>
        <v>#REF!</v>
      </c>
      <c r="R402" s="91"/>
    </row>
    <row r="403" spans="1:18" x14ac:dyDescent="0.25">
      <c r="A403" s="90" t="e">
        <f>CONCATENATE(#REF!,#REF!,#REF!,#REF!)</f>
        <v>#REF!</v>
      </c>
      <c r="R403" s="91"/>
    </row>
    <row r="404" spans="1:18" x14ac:dyDescent="0.25">
      <c r="A404" s="90" t="e">
        <f>CONCATENATE(#REF!,#REF!,#REF!,#REF!)</f>
        <v>#REF!</v>
      </c>
      <c r="R404" s="91"/>
    </row>
    <row r="405" spans="1:18" x14ac:dyDescent="0.25">
      <c r="A405" s="90" t="e">
        <f>CONCATENATE(#REF!,#REF!,#REF!,#REF!)</f>
        <v>#REF!</v>
      </c>
      <c r="R405" s="91"/>
    </row>
    <row r="406" spans="1:18" x14ac:dyDescent="0.25">
      <c r="A406" s="90" t="e">
        <f>CONCATENATE(#REF!,#REF!,#REF!,#REF!)</f>
        <v>#REF!</v>
      </c>
      <c r="R406" s="91"/>
    </row>
    <row r="407" spans="1:18" x14ac:dyDescent="0.25">
      <c r="A407" s="90" t="e">
        <f>CONCATENATE(#REF!,#REF!,#REF!,#REF!)</f>
        <v>#REF!</v>
      </c>
      <c r="R407" s="91"/>
    </row>
    <row r="408" spans="1:18" x14ac:dyDescent="0.25">
      <c r="A408" s="90" t="e">
        <f>CONCATENATE(#REF!,#REF!,#REF!,#REF!)</f>
        <v>#REF!</v>
      </c>
      <c r="R408" s="91"/>
    </row>
    <row r="409" spans="1:18" x14ac:dyDescent="0.25">
      <c r="A409" s="90" t="e">
        <f>CONCATENATE(#REF!,#REF!,#REF!,#REF!)</f>
        <v>#REF!</v>
      </c>
      <c r="R409" s="91"/>
    </row>
    <row r="410" spans="1:18" x14ac:dyDescent="0.25">
      <c r="A410" s="90" t="e">
        <f>CONCATENATE(#REF!,#REF!,#REF!,#REF!)</f>
        <v>#REF!</v>
      </c>
      <c r="R410" s="91"/>
    </row>
    <row r="411" spans="1:18" x14ac:dyDescent="0.25">
      <c r="A411" s="90" t="e">
        <f>CONCATENATE(#REF!,#REF!,#REF!,#REF!)</f>
        <v>#REF!</v>
      </c>
      <c r="R411" s="91"/>
    </row>
    <row r="412" spans="1:18" x14ac:dyDescent="0.25">
      <c r="A412" s="90" t="e">
        <f>CONCATENATE(#REF!,#REF!,#REF!,#REF!)</f>
        <v>#REF!</v>
      </c>
      <c r="R412" s="91"/>
    </row>
    <row r="413" spans="1:18" x14ac:dyDescent="0.25">
      <c r="A413" s="90" t="e">
        <f>CONCATENATE(#REF!,#REF!,#REF!,#REF!)</f>
        <v>#REF!</v>
      </c>
      <c r="R413" s="91"/>
    </row>
    <row r="414" spans="1:18" x14ac:dyDescent="0.25">
      <c r="A414" s="90" t="e">
        <f>CONCATENATE(#REF!,#REF!,#REF!,#REF!)</f>
        <v>#REF!</v>
      </c>
      <c r="R414" s="91"/>
    </row>
    <row r="415" spans="1:18" x14ac:dyDescent="0.25">
      <c r="A415" s="90" t="e">
        <f>CONCATENATE(#REF!,#REF!,#REF!,#REF!)</f>
        <v>#REF!</v>
      </c>
      <c r="R415" s="91"/>
    </row>
    <row r="416" spans="1:18" x14ac:dyDescent="0.25">
      <c r="A416" s="90" t="e">
        <f>CONCATENATE(#REF!,#REF!,#REF!,#REF!)</f>
        <v>#REF!</v>
      </c>
      <c r="R416" s="91"/>
    </row>
    <row r="417" spans="1:18" x14ac:dyDescent="0.25">
      <c r="A417" s="90" t="e">
        <f>CONCATENATE(#REF!,#REF!,#REF!,#REF!)</f>
        <v>#REF!</v>
      </c>
      <c r="R417" s="91"/>
    </row>
    <row r="418" spans="1:18" x14ac:dyDescent="0.25">
      <c r="A418" s="90" t="e">
        <f>CONCATENATE(#REF!,#REF!,#REF!,#REF!)</f>
        <v>#REF!</v>
      </c>
      <c r="R418" s="91"/>
    </row>
    <row r="419" spans="1:18" x14ac:dyDescent="0.25">
      <c r="A419" s="90" t="e">
        <f>CONCATENATE(#REF!,#REF!,#REF!,#REF!)</f>
        <v>#REF!</v>
      </c>
      <c r="R419" s="89"/>
    </row>
    <row r="420" spans="1:18" x14ac:dyDescent="0.25">
      <c r="A420" s="90" t="e">
        <f>CONCATENATE(#REF!,#REF!,#REF!,#REF!)</f>
        <v>#REF!</v>
      </c>
      <c r="R420" s="89"/>
    </row>
  </sheetData>
  <mergeCells count="1">
    <mergeCell ref="T2:W3"/>
  </mergeCells>
  <pageMargins left="0.7" right="0.7" top="0.75" bottom="0.75" header="0.3" footer="0.3"/>
  <drawing r:id="rId1"/>
  <legacyDrawing r:id="rId2"/>
  <controls>
    <mc:AlternateContent xmlns:mc="http://schemas.openxmlformats.org/markup-compatibility/2006">
      <mc:Choice Requires="x14">
        <control shapeId="58374" r:id="rId3" name="CommandButton1">
          <controlPr defaultSize="0" autoLine="0" r:id="rId4">
            <anchor moveWithCells="1">
              <from>
                <xdr:col>19</xdr:col>
                <xdr:colOff>47625</xdr:colOff>
                <xdr:row>4</xdr:row>
                <xdr:rowOff>19050</xdr:rowOff>
              </from>
              <to>
                <xdr:col>22</xdr:col>
                <xdr:colOff>333375</xdr:colOff>
                <xdr:row>6</xdr:row>
                <xdr:rowOff>19050</xdr:rowOff>
              </to>
            </anchor>
          </controlPr>
        </control>
      </mc:Choice>
      <mc:Fallback>
        <control shapeId="58374" r:id="rId3" name="CommandButton1"/>
      </mc:Fallback>
    </mc:AlternateContent>
  </controls>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V47"/>
  <sheetViews>
    <sheetView showGridLines="0" showRowColHeaders="0" topLeftCell="B2" zoomScaleNormal="100" workbookViewId="0">
      <selection activeCell="B2" sqref="B2:K3"/>
    </sheetView>
  </sheetViews>
  <sheetFormatPr defaultRowHeight="15" x14ac:dyDescent="0.25"/>
  <cols>
    <col min="1" max="1" width="3.85546875" customWidth="1"/>
    <col min="2" max="2" width="8.140625" customWidth="1"/>
    <col min="3" max="3" width="2" customWidth="1"/>
    <col min="4" max="4" width="7.5703125" customWidth="1"/>
    <col min="5" max="5" width="2" customWidth="1"/>
    <col min="6" max="6" width="7.5703125" customWidth="1"/>
    <col min="7" max="7" width="4.28515625" customWidth="1"/>
    <col min="8" max="11" width="22.85546875" customWidth="1"/>
    <col min="12" max="12" width="17" customWidth="1"/>
    <col min="22" max="22" width="10.7109375" customWidth="1"/>
  </cols>
  <sheetData>
    <row r="1" spans="2:22" ht="9.75" customHeight="1" x14ac:dyDescent="0.25"/>
    <row r="2" spans="2:22" ht="17.25" customHeight="1" x14ac:dyDescent="0.25">
      <c r="B2" s="210" t="s">
        <v>116</v>
      </c>
      <c r="C2" s="215"/>
      <c r="D2" s="215"/>
      <c r="E2" s="215"/>
      <c r="F2" s="215"/>
      <c r="G2" s="215"/>
      <c r="H2" s="215"/>
      <c r="I2" s="215"/>
      <c r="J2" s="215"/>
      <c r="K2" s="215"/>
    </row>
    <row r="3" spans="2:22" ht="17.25" customHeight="1" x14ac:dyDescent="0.25">
      <c r="B3" s="215"/>
      <c r="C3" s="215"/>
      <c r="D3" s="215"/>
      <c r="E3" s="215"/>
      <c r="F3" s="215"/>
      <c r="G3" s="215"/>
      <c r="H3" s="215"/>
      <c r="I3" s="215"/>
      <c r="J3" s="215"/>
      <c r="K3" s="215"/>
    </row>
    <row r="4" spans="2:22" ht="9.75" customHeight="1" x14ac:dyDescent="0.25">
      <c r="B4" s="114"/>
      <c r="C4" s="114"/>
      <c r="D4" s="114"/>
      <c r="E4" s="114"/>
      <c r="F4" s="114"/>
      <c r="G4" s="114"/>
      <c r="H4" s="114"/>
      <c r="I4" s="114"/>
      <c r="J4" s="114"/>
      <c r="K4" s="114"/>
    </row>
    <row r="5" spans="2:22" ht="18" customHeight="1" x14ac:dyDescent="0.25">
      <c r="B5" s="211" t="s">
        <v>110</v>
      </c>
      <c r="C5" s="211"/>
      <c r="D5" s="211"/>
      <c r="E5" s="211"/>
      <c r="F5" s="211"/>
      <c r="G5" s="211"/>
      <c r="H5" s="211"/>
      <c r="I5" s="211"/>
      <c r="J5" s="211"/>
      <c r="K5" s="211"/>
      <c r="N5" s="116"/>
      <c r="O5" s="116"/>
      <c r="P5" s="116"/>
      <c r="Q5" s="116"/>
      <c r="R5" s="116"/>
      <c r="S5" s="116"/>
      <c r="T5" s="116"/>
      <c r="U5" s="116"/>
      <c r="V5" s="116"/>
    </row>
    <row r="6" spans="2:22" ht="16.5" customHeight="1" x14ac:dyDescent="0.25">
      <c r="L6" s="159" t="s">
        <v>86</v>
      </c>
      <c r="M6" s="116"/>
      <c r="N6" s="116"/>
      <c r="O6" s="116"/>
      <c r="P6" s="116"/>
      <c r="Q6" s="116"/>
      <c r="R6" s="116"/>
      <c r="S6" s="116"/>
      <c r="T6" s="116"/>
      <c r="U6" s="116"/>
      <c r="V6" s="116"/>
    </row>
    <row r="7" spans="2:22" ht="17.25" customHeight="1" x14ac:dyDescent="0.25">
      <c r="B7" s="121" t="s">
        <v>100</v>
      </c>
      <c r="L7" s="159" t="s">
        <v>84</v>
      </c>
    </row>
    <row r="8" spans="2:22" ht="8.25" customHeight="1" x14ac:dyDescent="0.25"/>
    <row r="9" spans="2:22" x14ac:dyDescent="0.25">
      <c r="B9" s="217" t="s">
        <v>144</v>
      </c>
      <c r="C9" s="217"/>
      <c r="D9" s="217"/>
      <c r="E9" s="217"/>
      <c r="F9" s="217"/>
      <c r="G9" s="217"/>
      <c r="H9" s="217"/>
      <c r="I9" s="217"/>
      <c r="J9" s="217"/>
      <c r="K9" s="217"/>
    </row>
    <row r="10" spans="2:22" x14ac:dyDescent="0.25">
      <c r="B10" s="217"/>
      <c r="C10" s="217"/>
      <c r="D10" s="217"/>
      <c r="E10" s="217"/>
      <c r="F10" s="217"/>
      <c r="G10" s="217"/>
      <c r="H10" s="217"/>
      <c r="I10" s="217"/>
      <c r="J10" s="217"/>
      <c r="K10" s="217"/>
    </row>
    <row r="11" spans="2:22" ht="14.25" customHeight="1" x14ac:dyDescent="0.25">
      <c r="B11" s="217"/>
      <c r="C11" s="217"/>
      <c r="D11" s="217"/>
      <c r="E11" s="217"/>
      <c r="F11" s="217"/>
      <c r="G11" s="217"/>
      <c r="H11" s="217"/>
      <c r="I11" s="217"/>
      <c r="J11" s="217"/>
      <c r="K11" s="217"/>
    </row>
    <row r="12" spans="2:22" ht="8.25" customHeight="1" x14ac:dyDescent="0.25"/>
    <row r="13" spans="2:22" ht="16.5" customHeight="1" x14ac:dyDescent="0.25">
      <c r="B13" s="121" t="s">
        <v>101</v>
      </c>
    </row>
    <row r="14" spans="2:22" ht="8.25" customHeight="1" x14ac:dyDescent="0.25"/>
    <row r="15" spans="2:22" ht="23.25" customHeight="1" x14ac:dyDescent="0.25">
      <c r="B15" s="217" t="s">
        <v>112</v>
      </c>
      <c r="C15" s="217"/>
      <c r="D15" s="217"/>
      <c r="E15" s="217"/>
      <c r="F15" s="217"/>
      <c r="G15" s="217"/>
      <c r="H15" s="217"/>
      <c r="I15" s="217"/>
      <c r="J15" s="217"/>
      <c r="K15" s="217"/>
    </row>
    <row r="16" spans="2:22" ht="24.75" customHeight="1" x14ac:dyDescent="0.25">
      <c r="B16" s="217"/>
      <c r="C16" s="217"/>
      <c r="D16" s="217"/>
      <c r="E16" s="217"/>
      <c r="F16" s="217"/>
      <c r="G16" s="217"/>
      <c r="H16" s="217"/>
      <c r="I16" s="217"/>
      <c r="J16" s="217"/>
      <c r="K16" s="217"/>
    </row>
    <row r="17" spans="2:12" ht="24" customHeight="1" x14ac:dyDescent="0.25">
      <c r="B17" s="217"/>
      <c r="C17" s="217"/>
      <c r="D17" s="217"/>
      <c r="E17" s="217"/>
      <c r="F17" s="217"/>
      <c r="G17" s="217"/>
      <c r="H17" s="217"/>
      <c r="I17" s="217"/>
      <c r="J17" s="217"/>
      <c r="K17" s="217"/>
    </row>
    <row r="18" spans="2:12" ht="8.25" customHeight="1" x14ac:dyDescent="0.25">
      <c r="B18" s="115"/>
      <c r="C18" s="115"/>
      <c r="D18" s="115"/>
      <c r="E18" s="115"/>
      <c r="F18" s="115"/>
      <c r="G18" s="115"/>
      <c r="H18" s="115"/>
      <c r="I18" s="115"/>
      <c r="J18" s="115"/>
      <c r="K18" s="115"/>
    </row>
    <row r="19" spans="2:12" ht="16.5" customHeight="1" x14ac:dyDescent="0.25">
      <c r="B19" s="121" t="s">
        <v>124</v>
      </c>
      <c r="C19" s="121"/>
      <c r="D19" s="121"/>
      <c r="E19" s="121"/>
      <c r="F19" s="121"/>
      <c r="G19" s="121"/>
      <c r="H19" s="121"/>
      <c r="I19" s="115"/>
      <c r="J19" s="115"/>
      <c r="K19" s="115"/>
    </row>
    <row r="20" spans="2:12" ht="8.25" customHeight="1" x14ac:dyDescent="0.25">
      <c r="B20" s="115"/>
      <c r="C20" s="115"/>
      <c r="D20" s="115"/>
      <c r="E20" s="115"/>
      <c r="F20" s="115"/>
      <c r="G20" s="115"/>
      <c r="H20" s="115"/>
      <c r="I20" s="115"/>
      <c r="J20" s="115"/>
      <c r="K20" s="115"/>
    </row>
    <row r="21" spans="2:12" ht="26.25" customHeight="1" x14ac:dyDescent="0.25">
      <c r="B21" s="217" t="s">
        <v>150</v>
      </c>
      <c r="C21" s="217"/>
      <c r="D21" s="217"/>
      <c r="E21" s="217"/>
      <c r="F21" s="217"/>
      <c r="G21" s="217"/>
      <c r="H21" s="217"/>
      <c r="I21" s="217"/>
      <c r="J21" s="217"/>
      <c r="K21" s="217"/>
    </row>
    <row r="22" spans="2:12" ht="15.75" customHeight="1" x14ac:dyDescent="0.25">
      <c r="B22" s="217"/>
      <c r="C22" s="217"/>
      <c r="D22" s="217"/>
      <c r="E22" s="217"/>
      <c r="F22" s="217"/>
      <c r="G22" s="217"/>
      <c r="H22" s="217"/>
      <c r="I22" s="217"/>
      <c r="J22" s="217"/>
      <c r="K22" s="217"/>
    </row>
    <row r="23" spans="2:12" ht="29.25" customHeight="1" x14ac:dyDescent="0.25">
      <c r="B23" s="217"/>
      <c r="C23" s="217"/>
      <c r="D23" s="217"/>
      <c r="E23" s="217"/>
      <c r="F23" s="217"/>
      <c r="G23" s="217"/>
      <c r="H23" s="217"/>
      <c r="I23" s="217"/>
      <c r="J23" s="217"/>
      <c r="K23" s="217"/>
    </row>
    <row r="24" spans="2:12" ht="15.75" customHeight="1" x14ac:dyDescent="0.25">
      <c r="B24" s="218" t="s">
        <v>145</v>
      </c>
      <c r="C24" s="218"/>
      <c r="D24" s="218"/>
      <c r="E24" s="218"/>
      <c r="F24" s="218"/>
      <c r="G24" s="218"/>
      <c r="H24" s="218"/>
      <c r="I24" s="218"/>
      <c r="J24" s="218"/>
      <c r="K24" s="115"/>
    </row>
    <row r="25" spans="2:12" ht="8.25" customHeight="1" x14ac:dyDescent="0.25"/>
    <row r="26" spans="2:12" ht="15.75" x14ac:dyDescent="0.25">
      <c r="B26" s="121" t="s">
        <v>104</v>
      </c>
    </row>
    <row r="27" spans="2:12" ht="8.25" customHeight="1" x14ac:dyDescent="0.25"/>
    <row r="28" spans="2:12" ht="20.25" customHeight="1" x14ac:dyDescent="0.25">
      <c r="B28" s="216" t="s">
        <v>120</v>
      </c>
      <c r="C28" s="216"/>
      <c r="D28" s="216"/>
      <c r="E28" s="216"/>
      <c r="F28" s="216"/>
      <c r="G28" s="216"/>
      <c r="H28" s="216"/>
      <c r="I28" s="216"/>
      <c r="J28" s="216"/>
      <c r="K28" s="216"/>
    </row>
    <row r="29" spans="2:12" ht="23.25" customHeight="1" x14ac:dyDescent="0.25">
      <c r="B29" s="216"/>
      <c r="C29" s="216"/>
      <c r="D29" s="216"/>
      <c r="E29" s="216"/>
      <c r="F29" s="216"/>
      <c r="G29" s="216"/>
      <c r="H29" s="216"/>
      <c r="I29" s="216"/>
      <c r="J29" s="216"/>
      <c r="K29" s="216"/>
    </row>
    <row r="30" spans="2:12" ht="8.25" customHeight="1" x14ac:dyDescent="0.25">
      <c r="L30" s="122"/>
    </row>
    <row r="31" spans="2:12" ht="15.75" x14ac:dyDescent="0.25">
      <c r="B31" s="121" t="s">
        <v>106</v>
      </c>
    </row>
    <row r="32" spans="2:12" ht="8.25" customHeight="1" x14ac:dyDescent="0.25">
      <c r="B32" s="120"/>
    </row>
    <row r="33" spans="2:11" ht="34.5" customHeight="1" x14ac:dyDescent="0.25">
      <c r="B33" s="216" t="s">
        <v>146</v>
      </c>
      <c r="C33" s="216"/>
      <c r="D33" s="216"/>
      <c r="E33" s="216"/>
      <c r="F33" s="216"/>
      <c r="G33" s="216"/>
      <c r="H33" s="216"/>
      <c r="I33" s="216"/>
      <c r="J33" s="216"/>
      <c r="K33" s="216"/>
    </row>
    <row r="34" spans="2:11" ht="36" customHeight="1" x14ac:dyDescent="0.25">
      <c r="B34" s="216"/>
      <c r="C34" s="216"/>
      <c r="D34" s="216"/>
      <c r="E34" s="216"/>
      <c r="F34" s="216"/>
      <c r="G34" s="216"/>
      <c r="H34" s="216"/>
      <c r="I34" s="216"/>
      <c r="J34" s="216"/>
      <c r="K34" s="216"/>
    </row>
    <row r="35" spans="2:11" ht="30" customHeight="1" x14ac:dyDescent="0.25">
      <c r="B35" s="216"/>
      <c r="C35" s="216"/>
      <c r="D35" s="216"/>
      <c r="E35" s="216"/>
      <c r="F35" s="216"/>
      <c r="G35" s="216"/>
      <c r="H35" s="216"/>
      <c r="I35" s="216"/>
      <c r="J35" s="216"/>
      <c r="K35" s="216"/>
    </row>
    <row r="36" spans="2:11" ht="15.75" customHeight="1" x14ac:dyDescent="0.25">
      <c r="B36" s="216" t="s">
        <v>147</v>
      </c>
      <c r="C36" s="216"/>
      <c r="D36" s="216"/>
      <c r="E36" s="216"/>
      <c r="F36" s="216"/>
      <c r="G36" s="216"/>
      <c r="H36" s="219" t="s">
        <v>148</v>
      </c>
      <c r="I36" s="219"/>
    </row>
    <row r="37" spans="2:11" ht="8.25" customHeight="1" x14ac:dyDescent="0.25"/>
    <row r="38" spans="2:11" ht="15.75" x14ac:dyDescent="0.25">
      <c r="B38" s="121" t="s">
        <v>126</v>
      </c>
    </row>
    <row r="39" spans="2:11" ht="8.25" customHeight="1" x14ac:dyDescent="0.25"/>
    <row r="40" spans="2:11" x14ac:dyDescent="0.25">
      <c r="B40" s="217" t="s">
        <v>149</v>
      </c>
      <c r="C40" s="217"/>
      <c r="D40" s="217"/>
      <c r="E40" s="217"/>
      <c r="F40" s="217"/>
      <c r="G40" s="217"/>
      <c r="H40" s="217"/>
      <c r="I40" s="217"/>
      <c r="J40" s="217"/>
      <c r="K40" s="217"/>
    </row>
    <row r="41" spans="2:11" x14ac:dyDescent="0.25">
      <c r="B41" s="217"/>
      <c r="C41" s="217"/>
      <c r="D41" s="217"/>
      <c r="E41" s="217"/>
      <c r="F41" s="217"/>
      <c r="G41" s="217"/>
      <c r="H41" s="217"/>
      <c r="I41" s="217"/>
      <c r="J41" s="217"/>
      <c r="K41" s="217"/>
    </row>
    <row r="42" spans="2:11" ht="51" customHeight="1" x14ac:dyDescent="0.25">
      <c r="B42" s="217"/>
      <c r="C42" s="217"/>
      <c r="D42" s="217"/>
      <c r="E42" s="217"/>
      <c r="F42" s="217"/>
      <c r="G42" s="217"/>
      <c r="H42" s="217"/>
      <c r="I42" s="217"/>
      <c r="J42" s="217"/>
      <c r="K42" s="217"/>
    </row>
    <row r="43" spans="2:11" x14ac:dyDescent="0.25">
      <c r="B43" s="36" t="s">
        <v>141</v>
      </c>
    </row>
    <row r="44" spans="2:11" x14ac:dyDescent="0.25">
      <c r="B44" s="36" t="s">
        <v>141</v>
      </c>
    </row>
    <row r="45" spans="2:11" x14ac:dyDescent="0.25">
      <c r="B45" s="36"/>
    </row>
    <row r="46" spans="2:11" x14ac:dyDescent="0.25">
      <c r="B46" s="36"/>
    </row>
    <row r="47" spans="2:11" x14ac:dyDescent="0.25">
      <c r="B47" s="36"/>
    </row>
  </sheetData>
  <sheetProtection selectLockedCells="1"/>
  <mergeCells count="11">
    <mergeCell ref="B2:K3"/>
    <mergeCell ref="B5:K5"/>
    <mergeCell ref="B28:K29"/>
    <mergeCell ref="B21:K23"/>
    <mergeCell ref="B40:K42"/>
    <mergeCell ref="B9:K11"/>
    <mergeCell ref="B15:K17"/>
    <mergeCell ref="B33:K35"/>
    <mergeCell ref="B24:J24"/>
    <mergeCell ref="B36:G36"/>
    <mergeCell ref="H36:I36"/>
  </mergeCells>
  <hyperlinks>
    <hyperlink ref="L6" location="Introduction!A1" display="Back to index" xr:uid="{00000000-0004-0000-0200-000000000000}"/>
    <hyperlink ref="L7" location="DASHBOARD!A1" display="Dashboard" xr:uid="{00000000-0004-0000-0200-000001000000}"/>
    <hyperlink ref="H36" r:id="rId1" display="Estimation of Apprentices and Trainee Statistics" xr:uid="{00000000-0004-0000-0200-000002000000}"/>
    <hyperlink ref="B24" r:id="rId2" display="&lt;https://www.ncver.edu.au/data/collection/apprentices-and-trainees-collection&gt;" xr:uid="{00000000-0004-0000-0200-000003000000}"/>
    <hyperlink ref="B24:J24" r:id="rId3" display="&lt;https://www.ncver.edu.au/data/collection/apprentices-and-trainees-collection&gt;." xr:uid="{00000000-0004-0000-0200-000004000000}"/>
    <hyperlink ref="H36:I36" r:id="rId4" display="Estimation of apprentices and trainee statistics."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Y33"/>
  <sheetViews>
    <sheetView showZeros="0" topLeftCell="A7" zoomScale="80" zoomScaleNormal="80" workbookViewId="0">
      <selection activeCell="C11" sqref="C11"/>
    </sheetView>
  </sheetViews>
  <sheetFormatPr defaultRowHeight="15" x14ac:dyDescent="0.25"/>
  <cols>
    <col min="1" max="1" width="11.85546875" style="65" customWidth="1"/>
    <col min="2" max="4" width="11.85546875" customWidth="1"/>
    <col min="5" max="5" width="2.140625" customWidth="1"/>
    <col min="6" max="9" width="11.140625" customWidth="1"/>
    <col min="10" max="10" width="2" customWidth="1"/>
    <col min="11" max="11" width="18.7109375" bestFit="1" customWidth="1"/>
    <col min="12" max="12" width="16.28515625" bestFit="1" customWidth="1"/>
    <col min="13" max="13" width="17.28515625" bestFit="1" customWidth="1"/>
    <col min="14" max="14" width="6" bestFit="1" customWidth="1"/>
    <col min="15" max="15" width="2" customWidth="1"/>
    <col min="16" max="16" width="17.85546875" bestFit="1" customWidth="1"/>
    <col min="17" max="20" width="11.42578125" bestFit="1" customWidth="1"/>
    <col min="21" max="21" width="2.140625" customWidth="1"/>
    <col min="22" max="22" width="18.7109375" bestFit="1" customWidth="1"/>
    <col min="23" max="23" width="7.28515625" bestFit="1" customWidth="1"/>
    <col min="24" max="24" width="6.5703125" bestFit="1" customWidth="1"/>
    <col min="25" max="213" width="13.28515625" customWidth="1"/>
    <col min="214" max="214" width="16.140625" bestFit="1" customWidth="1"/>
    <col min="215" max="422" width="8" customWidth="1"/>
    <col min="423" max="423" width="11" bestFit="1" customWidth="1"/>
  </cols>
  <sheetData>
    <row r="1" spans="1:25" ht="7.5" customHeight="1" x14ac:dyDescent="0.25">
      <c r="A1" s="66"/>
      <c r="E1" s="10"/>
      <c r="F1" s="10"/>
    </row>
    <row r="2" spans="1:25" ht="15" customHeight="1" x14ac:dyDescent="0.25">
      <c r="A2" s="223" t="s">
        <v>80</v>
      </c>
      <c r="B2" s="223"/>
      <c r="C2" s="223"/>
      <c r="D2" s="223"/>
      <c r="E2" s="223"/>
      <c r="F2" s="223"/>
      <c r="G2" s="223"/>
      <c r="H2" s="223"/>
      <c r="I2" s="223"/>
      <c r="J2" s="117"/>
      <c r="K2" s="117"/>
      <c r="L2" s="117"/>
      <c r="M2" s="117"/>
      <c r="N2" s="117"/>
      <c r="O2" s="117"/>
      <c r="P2" s="117"/>
      <c r="Q2" s="117"/>
      <c r="R2" s="117"/>
      <c r="S2" s="117"/>
      <c r="T2" s="117"/>
    </row>
    <row r="3" spans="1:25" ht="15" customHeight="1" x14ac:dyDescent="0.25">
      <c r="A3" s="223"/>
      <c r="B3" s="223"/>
      <c r="C3" s="223"/>
      <c r="D3" s="223"/>
      <c r="E3" s="223"/>
      <c r="F3" s="223"/>
      <c r="G3" s="223"/>
      <c r="H3" s="223"/>
      <c r="I3" s="223"/>
      <c r="J3" s="117"/>
      <c r="K3" s="117"/>
      <c r="L3" s="117"/>
      <c r="M3" s="117"/>
      <c r="N3" s="117"/>
      <c r="O3" s="117"/>
      <c r="P3" s="117"/>
      <c r="Q3" s="117"/>
      <c r="R3" s="117"/>
      <c r="S3" s="117"/>
      <c r="T3" s="117"/>
    </row>
    <row r="4" spans="1:25" ht="15.75" thickBot="1" x14ac:dyDescent="0.3">
      <c r="A4" s="67"/>
      <c r="B4" s="1"/>
      <c r="C4" s="1"/>
      <c r="E4" s="10"/>
      <c r="F4" s="10"/>
    </row>
    <row r="5" spans="1:25" ht="15.75" thickBot="1" x14ac:dyDescent="0.3">
      <c r="A5" s="227" t="s">
        <v>165</v>
      </c>
      <c r="B5" s="228"/>
      <c r="C5" s="228"/>
      <c r="D5" s="228"/>
      <c r="E5" s="228"/>
      <c r="F5" s="228"/>
      <c r="G5" s="228"/>
      <c r="H5" s="228"/>
      <c r="I5" s="228"/>
      <c r="J5" s="228"/>
      <c r="K5" s="228"/>
      <c r="L5" s="228"/>
      <c r="M5" s="228"/>
      <c r="N5" s="228"/>
      <c r="O5" s="228"/>
      <c r="P5" s="228"/>
      <c r="Q5" s="228"/>
      <c r="R5" s="228"/>
      <c r="S5" s="228"/>
      <c r="T5" s="228"/>
      <c r="U5" s="228"/>
      <c r="V5" s="228"/>
      <c r="W5" s="228"/>
      <c r="X5" s="229"/>
    </row>
    <row r="6" spans="1:25" ht="15.75" thickBot="1" x14ac:dyDescent="0.3"/>
    <row r="7" spans="1:25" ht="15.75" thickBot="1" x14ac:dyDescent="0.3">
      <c r="A7" s="224" t="s">
        <v>49</v>
      </c>
      <c r="B7" s="225"/>
      <c r="C7" s="225"/>
      <c r="D7" s="226"/>
      <c r="F7" s="224" t="s">
        <v>50</v>
      </c>
      <c r="G7" s="225"/>
      <c r="H7" s="225"/>
      <c r="I7" s="226"/>
      <c r="J7" s="32"/>
      <c r="K7" s="224" t="s">
        <v>51</v>
      </c>
      <c r="L7" s="225"/>
      <c r="M7" s="225"/>
      <c r="N7" s="226"/>
      <c r="P7" s="224" t="s">
        <v>54</v>
      </c>
      <c r="Q7" s="225"/>
      <c r="R7" s="225"/>
      <c r="S7" s="225"/>
      <c r="T7" s="226"/>
      <c r="V7" s="224" t="s">
        <v>57</v>
      </c>
      <c r="W7" s="225"/>
      <c r="X7" s="226"/>
    </row>
    <row r="9" spans="1:25" ht="60" x14ac:dyDescent="0.25">
      <c r="A9" s="186" t="s">
        <v>41</v>
      </c>
      <c r="B9" s="187" t="s">
        <v>94</v>
      </c>
      <c r="C9" s="188" t="s">
        <v>24</v>
      </c>
      <c r="D9" s="189" t="s">
        <v>95</v>
      </c>
      <c r="E9" s="190"/>
      <c r="F9" s="186" t="s">
        <v>41</v>
      </c>
      <c r="G9" s="188" t="s">
        <v>98</v>
      </c>
      <c r="H9" s="187" t="s">
        <v>96</v>
      </c>
      <c r="I9" s="189" t="s">
        <v>24</v>
      </c>
      <c r="J9" s="190"/>
      <c r="K9" s="191" t="s">
        <v>41</v>
      </c>
      <c r="L9" s="191" t="s">
        <v>92</v>
      </c>
      <c r="M9" s="188" t="s">
        <v>93</v>
      </c>
      <c r="N9" s="191" t="s">
        <v>122</v>
      </c>
      <c r="P9" s="83"/>
      <c r="Q9" s="82" t="s">
        <v>10</v>
      </c>
      <c r="R9" s="82" t="s">
        <v>53</v>
      </c>
      <c r="S9" s="81"/>
      <c r="T9" s="80"/>
      <c r="V9" s="191" t="s">
        <v>41</v>
      </c>
      <c r="W9" s="187" t="s">
        <v>45</v>
      </c>
      <c r="X9" s="189" t="s">
        <v>56</v>
      </c>
    </row>
    <row r="10" spans="1:25" x14ac:dyDescent="0.25">
      <c r="A10" s="65">
        <v>45261</v>
      </c>
      <c r="B10" s="166">
        <v>31578</v>
      </c>
      <c r="C10" s="167">
        <v>33193</v>
      </c>
      <c r="D10" s="166">
        <v>38904</v>
      </c>
      <c r="F10" s="68">
        <v>45261</v>
      </c>
      <c r="G10" s="87">
        <v>31989</v>
      </c>
      <c r="H10" s="167">
        <v>35241</v>
      </c>
      <c r="I10" s="167">
        <v>33193</v>
      </c>
      <c r="J10" s="87"/>
      <c r="K10" s="68">
        <v>45261</v>
      </c>
      <c r="L10" s="169">
        <v>1.0620000000000001</v>
      </c>
      <c r="M10" s="169">
        <v>1.075</v>
      </c>
      <c r="N10" s="170">
        <v>1</v>
      </c>
      <c r="P10" s="84"/>
      <c r="Q10" s="81" t="s">
        <v>0</v>
      </c>
      <c r="R10" s="79"/>
      <c r="S10" s="79" t="s">
        <v>30</v>
      </c>
      <c r="T10" s="80"/>
      <c r="V10" s="168">
        <v>45261</v>
      </c>
      <c r="W10">
        <v>35241</v>
      </c>
      <c r="X10">
        <v>35695</v>
      </c>
      <c r="Y10" s="34"/>
    </row>
    <row r="11" spans="1:25" x14ac:dyDescent="0.25">
      <c r="A11" s="65">
        <v>45352</v>
      </c>
      <c r="B11" s="166">
        <v>53106</v>
      </c>
      <c r="C11" s="167">
        <v>55845</v>
      </c>
      <c r="D11" s="166">
        <v>66264</v>
      </c>
      <c r="F11" s="68">
        <v>45352</v>
      </c>
      <c r="G11" s="87">
        <v>54047</v>
      </c>
      <c r="H11" s="167">
        <v>59685</v>
      </c>
      <c r="I11" s="167">
        <v>55845</v>
      </c>
      <c r="J11" s="87"/>
      <c r="K11" s="68">
        <v>45352</v>
      </c>
      <c r="L11" s="169">
        <v>1.069</v>
      </c>
      <c r="M11" s="169">
        <v>1.083</v>
      </c>
      <c r="N11" s="170">
        <v>1</v>
      </c>
      <c r="P11" s="191" t="s">
        <v>43</v>
      </c>
      <c r="Q11" s="81" t="s">
        <v>45</v>
      </c>
      <c r="R11" s="80" t="s">
        <v>24</v>
      </c>
      <c r="S11" s="81" t="s">
        <v>45</v>
      </c>
      <c r="T11" s="80" t="s">
        <v>24</v>
      </c>
      <c r="V11" s="168">
        <v>45352</v>
      </c>
      <c r="W11">
        <v>59685</v>
      </c>
      <c r="X11">
        <v>60508</v>
      </c>
      <c r="Y11" s="34"/>
    </row>
    <row r="12" spans="1:25" x14ac:dyDescent="0.25">
      <c r="A12" s="65">
        <v>45444</v>
      </c>
      <c r="B12" s="166">
        <v>38528</v>
      </c>
      <c r="C12" s="167">
        <v>40868</v>
      </c>
      <c r="D12" s="166">
        <v>46848</v>
      </c>
      <c r="F12" s="68">
        <v>45444</v>
      </c>
      <c r="G12" s="87">
        <v>38988</v>
      </c>
      <c r="H12" s="167">
        <v>42688</v>
      </c>
      <c r="I12" s="167">
        <v>40868</v>
      </c>
      <c r="J12" s="87"/>
      <c r="K12" s="68">
        <v>45444</v>
      </c>
      <c r="L12" s="169">
        <v>1.0449999999999999</v>
      </c>
      <c r="M12" s="169">
        <v>1.0569999999999999</v>
      </c>
      <c r="N12" s="170">
        <v>1</v>
      </c>
      <c r="P12" s="68">
        <v>45261</v>
      </c>
      <c r="Q12" s="87">
        <v>33690</v>
      </c>
      <c r="R12" s="87">
        <v>33193</v>
      </c>
      <c r="S12" s="87">
        <v>35241</v>
      </c>
      <c r="T12" s="87">
        <v>33193</v>
      </c>
      <c r="V12" s="168">
        <v>45444</v>
      </c>
      <c r="W12">
        <v>42688</v>
      </c>
      <c r="X12">
        <v>43205</v>
      </c>
      <c r="Y12" s="34"/>
    </row>
    <row r="13" spans="1:25" x14ac:dyDescent="0.25">
      <c r="A13" s="65">
        <v>45536</v>
      </c>
      <c r="B13" s="166">
        <v>25220</v>
      </c>
      <c r="C13" s="167">
        <v>26748</v>
      </c>
      <c r="D13" s="166">
        <v>30994</v>
      </c>
      <c r="F13" s="68">
        <v>45536</v>
      </c>
      <c r="G13" s="87">
        <v>25656</v>
      </c>
      <c r="H13" s="167">
        <v>28107</v>
      </c>
      <c r="I13" s="167">
        <v>26748</v>
      </c>
      <c r="J13" s="87"/>
      <c r="K13" s="68">
        <v>45536</v>
      </c>
      <c r="L13" s="169">
        <v>1.0509999999999999</v>
      </c>
      <c r="M13" s="169">
        <v>1.0640000000000001</v>
      </c>
      <c r="N13" s="170">
        <v>1</v>
      </c>
      <c r="P13" s="68">
        <v>45352</v>
      </c>
      <c r="Q13" s="87">
        <v>56715</v>
      </c>
      <c r="R13" s="87">
        <v>55845</v>
      </c>
      <c r="S13" s="87">
        <v>59685</v>
      </c>
      <c r="T13" s="87">
        <v>55845</v>
      </c>
      <c r="V13" s="168">
        <v>45536</v>
      </c>
      <c r="W13">
        <v>28107</v>
      </c>
      <c r="X13">
        <v>28454</v>
      </c>
      <c r="Y13" s="34"/>
    </row>
    <row r="14" spans="1:25" ht="15" customHeight="1" x14ac:dyDescent="0.25">
      <c r="A14"/>
      <c r="J14" s="87"/>
      <c r="P14" s="68">
        <v>45444</v>
      </c>
      <c r="Q14" s="87">
        <v>41410</v>
      </c>
      <c r="R14" s="87">
        <v>40868</v>
      </c>
      <c r="S14" s="87">
        <v>42688</v>
      </c>
      <c r="T14" s="87">
        <v>40868</v>
      </c>
    </row>
    <row r="15" spans="1:25" x14ac:dyDescent="0.25">
      <c r="A15"/>
      <c r="J15" s="87"/>
      <c r="P15" s="68">
        <v>45536</v>
      </c>
      <c r="Q15" s="87">
        <v>26984</v>
      </c>
      <c r="R15" s="87">
        <v>26748</v>
      </c>
      <c r="S15" s="87">
        <v>28107</v>
      </c>
      <c r="T15" s="87">
        <v>26748</v>
      </c>
    </row>
    <row r="16" spans="1:25" x14ac:dyDescent="0.25">
      <c r="A16"/>
      <c r="J16" s="87"/>
    </row>
    <row r="17" spans="1:22" x14ac:dyDescent="0.25">
      <c r="A17"/>
      <c r="J17" s="87"/>
    </row>
    <row r="18" spans="1:22" x14ac:dyDescent="0.25">
      <c r="A18"/>
      <c r="F18" s="68"/>
      <c r="G18" s="87"/>
      <c r="H18" s="87"/>
      <c r="I18" s="87"/>
      <c r="J18" s="87"/>
      <c r="K18" s="87"/>
      <c r="L18" s="87"/>
      <c r="M18" s="87"/>
      <c r="N18" s="87"/>
    </row>
    <row r="19" spans="1:22" x14ac:dyDescent="0.25">
      <c r="A19"/>
      <c r="F19" s="68"/>
      <c r="G19" s="87"/>
      <c r="H19" s="87"/>
      <c r="I19" s="87"/>
      <c r="J19" s="87"/>
      <c r="K19" s="87"/>
      <c r="L19" s="87"/>
      <c r="M19" s="87"/>
      <c r="N19" s="87"/>
    </row>
    <row r="20" spans="1:22" ht="15.75" thickBot="1" x14ac:dyDescent="0.3">
      <c r="A20"/>
      <c r="F20" s="68"/>
      <c r="G20" s="87"/>
      <c r="H20" s="87"/>
      <c r="I20" s="87"/>
      <c r="J20" s="87"/>
      <c r="K20" s="87"/>
      <c r="L20" s="87"/>
      <c r="M20" s="87"/>
      <c r="N20" s="87"/>
    </row>
    <row r="21" spans="1:22" ht="15.75" thickBot="1" x14ac:dyDescent="0.3">
      <c r="A21" s="220" t="s">
        <v>164</v>
      </c>
      <c r="B21" s="221"/>
      <c r="C21" s="221"/>
      <c r="D21" s="221"/>
      <c r="E21" s="221"/>
      <c r="F21" s="221"/>
      <c r="G21" s="221"/>
      <c r="H21" s="221"/>
      <c r="I21" s="221"/>
      <c r="J21" s="221"/>
      <c r="K21" s="221"/>
      <c r="L21" s="221"/>
      <c r="M21" s="221"/>
      <c r="N21" s="221"/>
      <c r="O21" s="221"/>
      <c r="P21" s="221"/>
      <c r="Q21" s="221"/>
      <c r="R21" s="221"/>
      <c r="S21" s="222"/>
    </row>
    <row r="22" spans="1:22" x14ac:dyDescent="0.25">
      <c r="A22"/>
    </row>
    <row r="23" spans="1:22" ht="75" x14ac:dyDescent="0.25">
      <c r="A23" s="192" t="str">
        <f>IF(ISBLANK(A9),"",A9)</f>
        <v>Review quarters</v>
      </c>
      <c r="B23" s="193" t="str">
        <f t="shared" ref="B23:D23" si="0">IF(ISBLANK(B9),"",B9)</f>
        <v>Lower boundary of prediction interval</v>
      </c>
      <c r="C23" s="193" t="str">
        <f t="shared" si="0"/>
        <v>Final count</v>
      </c>
      <c r="D23" s="194" t="str">
        <f t="shared" si="0"/>
        <v>Upper boundary of prediction interval</v>
      </c>
      <c r="E23" s="195"/>
      <c r="F23" s="192" t="str">
        <f>IF(ISBLANK(F9),"",F9)</f>
        <v>Review quarters</v>
      </c>
      <c r="G23" s="193" t="str">
        <f t="shared" ref="G23:I23" si="1">IF(ISBLANK(G9),"",G9)</f>
        <v>Collected count from STAs</v>
      </c>
      <c r="H23" s="193" t="str">
        <f t="shared" si="1"/>
        <v xml:space="preserve">NCVER published estimate </v>
      </c>
      <c r="I23" s="194" t="str">
        <f t="shared" si="1"/>
        <v>Final count</v>
      </c>
      <c r="J23" s="195"/>
      <c r="K23" s="192" t="str">
        <f>IF(ISBLANK(K9),"",K9)</f>
        <v>Review quarters</v>
      </c>
      <c r="L23" s="193" t="str">
        <f t="shared" ref="L23:N23" si="2">IF(ISBLANK(L9),"",L9)</f>
        <v>Published estimate as % of final count</v>
      </c>
      <c r="M23" s="193" t="str">
        <f t="shared" si="2"/>
        <v xml:space="preserve">Model estimate as % of final count  </v>
      </c>
      <c r="N23" s="194" t="str">
        <f t="shared" si="2"/>
        <v>Final count (100%)</v>
      </c>
      <c r="O23" s="190"/>
      <c r="P23" s="192" t="s">
        <v>41</v>
      </c>
      <c r="Q23" s="193" t="s">
        <v>97</v>
      </c>
      <c r="R23" s="193" t="s">
        <v>118</v>
      </c>
      <c r="S23" s="194" t="s">
        <v>24</v>
      </c>
    </row>
    <row r="24" spans="1:22" x14ac:dyDescent="0.25">
      <c r="A24" s="65">
        <f t="shared" ref="A24:D24" si="3">IF(ISBLANK(A10),"",A10)</f>
        <v>45261</v>
      </c>
      <c r="B24" s="160">
        <f t="shared" si="3"/>
        <v>31578</v>
      </c>
      <c r="C24" s="160">
        <f t="shared" si="3"/>
        <v>33193</v>
      </c>
      <c r="D24" s="160">
        <f t="shared" si="3"/>
        <v>38904</v>
      </c>
      <c r="E24" s="65"/>
      <c r="F24" s="65">
        <f t="shared" ref="F24:I24" si="4">IF(ISBLANK(F10),"",F10)</f>
        <v>45261</v>
      </c>
      <c r="G24" s="160">
        <f t="shared" si="4"/>
        <v>31989</v>
      </c>
      <c r="H24" s="160">
        <f t="shared" si="4"/>
        <v>35241</v>
      </c>
      <c r="I24" s="160">
        <f t="shared" si="4"/>
        <v>33193</v>
      </c>
      <c r="J24" s="65"/>
      <c r="K24" s="65">
        <f>IF(ISBLANK(K10),"",K10)</f>
        <v>45261</v>
      </c>
      <c r="L24" s="35">
        <f>IF(ISBLANK(L10),#N/A,L10)</f>
        <v>1.0620000000000001</v>
      </c>
      <c r="M24" s="35">
        <f>IF(ISBLANK(M10),#N/A,M10)</f>
        <v>1.075</v>
      </c>
      <c r="N24" s="34">
        <f t="shared" ref="N24" si="5">IF(ISBLANK(N10),#N/A,N10)</f>
        <v>1</v>
      </c>
      <c r="P24" s="65">
        <f>IF(ISBLANK(P12),"",P12)</f>
        <v>45261</v>
      </c>
      <c r="Q24">
        <f>IF(ISBLANK(Q12),"",Q12)</f>
        <v>33690</v>
      </c>
      <c r="R24">
        <f>IF(ISBLANK(S12),"",S12)</f>
        <v>35241</v>
      </c>
      <c r="S24">
        <f>IF(ISBLANK(R12),"",R12)</f>
        <v>33193</v>
      </c>
      <c r="V24" s="65"/>
    </row>
    <row r="25" spans="1:22" x14ac:dyDescent="0.25">
      <c r="A25" s="65">
        <f t="shared" ref="A25:D25" si="6">IF(ISBLANK(A11),"",A11)</f>
        <v>45352</v>
      </c>
      <c r="B25" s="160">
        <f t="shared" si="6"/>
        <v>53106</v>
      </c>
      <c r="C25" s="160">
        <f t="shared" si="6"/>
        <v>55845</v>
      </c>
      <c r="D25" s="160">
        <f t="shared" si="6"/>
        <v>66264</v>
      </c>
      <c r="E25" s="65"/>
      <c r="F25" s="65">
        <f t="shared" ref="F25:I25" si="7">IF(ISBLANK(F11),"",F11)</f>
        <v>45352</v>
      </c>
      <c r="G25" s="160">
        <f t="shared" si="7"/>
        <v>54047</v>
      </c>
      <c r="H25" s="160">
        <f t="shared" si="7"/>
        <v>59685</v>
      </c>
      <c r="I25" s="160">
        <f t="shared" si="7"/>
        <v>55845</v>
      </c>
      <c r="J25" s="65"/>
      <c r="K25" s="65">
        <f t="shared" ref="K25" si="8">IF(ISBLANK(K11),"",K11)</f>
        <v>45352</v>
      </c>
      <c r="L25" s="35">
        <f t="shared" ref="L25:N25" si="9">IF(ISBLANK(L11),#N/A,L11)</f>
        <v>1.069</v>
      </c>
      <c r="M25" s="35">
        <f t="shared" si="9"/>
        <v>1.083</v>
      </c>
      <c r="N25" s="34">
        <f t="shared" si="9"/>
        <v>1</v>
      </c>
      <c r="P25" s="65">
        <f t="shared" ref="P25:Q27" si="10">IF(ISBLANK(P13),"",P13)</f>
        <v>45352</v>
      </c>
      <c r="Q25">
        <f t="shared" si="10"/>
        <v>56715</v>
      </c>
      <c r="R25">
        <f t="shared" ref="R25:R27" si="11">IF(ISBLANK(S13),"",S13)</f>
        <v>59685</v>
      </c>
      <c r="S25">
        <f t="shared" ref="S25:S27" si="12">IF(ISBLANK(R13),"",R13)</f>
        <v>55845</v>
      </c>
      <c r="V25" s="65"/>
    </row>
    <row r="26" spans="1:22" x14ac:dyDescent="0.25">
      <c r="A26" s="65">
        <f t="shared" ref="A26:D26" si="13">IF(ISBLANK(A12),"",A12)</f>
        <v>45444</v>
      </c>
      <c r="B26" s="160">
        <f t="shared" si="13"/>
        <v>38528</v>
      </c>
      <c r="C26" s="160">
        <f t="shared" si="13"/>
        <v>40868</v>
      </c>
      <c r="D26" s="160">
        <f t="shared" si="13"/>
        <v>46848</v>
      </c>
      <c r="E26" s="65"/>
      <c r="F26" s="65">
        <f t="shared" ref="F26:I26" si="14">IF(ISBLANK(F12),"",F12)</f>
        <v>45444</v>
      </c>
      <c r="G26" s="160">
        <f t="shared" si="14"/>
        <v>38988</v>
      </c>
      <c r="H26" s="160">
        <f t="shared" si="14"/>
        <v>42688</v>
      </c>
      <c r="I26" s="160">
        <f t="shared" si="14"/>
        <v>40868</v>
      </c>
      <c r="J26" s="65"/>
      <c r="K26" s="65">
        <f t="shared" ref="K26" si="15">IF(ISBLANK(K12),"",K12)</f>
        <v>45444</v>
      </c>
      <c r="L26" s="35">
        <f t="shared" ref="L26:N26" si="16">IF(ISBLANK(L12),#N/A,L12)</f>
        <v>1.0449999999999999</v>
      </c>
      <c r="M26" s="35">
        <f t="shared" si="16"/>
        <v>1.0569999999999999</v>
      </c>
      <c r="N26" s="34">
        <f t="shared" si="16"/>
        <v>1</v>
      </c>
      <c r="P26" s="65">
        <f t="shared" si="10"/>
        <v>45444</v>
      </c>
      <c r="Q26">
        <f t="shared" si="10"/>
        <v>41410</v>
      </c>
      <c r="R26">
        <f t="shared" si="11"/>
        <v>42688</v>
      </c>
      <c r="S26">
        <f t="shared" si="12"/>
        <v>40868</v>
      </c>
      <c r="V26" s="65"/>
    </row>
    <row r="27" spans="1:22" x14ac:dyDescent="0.25">
      <c r="A27" s="65">
        <f t="shared" ref="A27:D27" si="17">IF(ISBLANK(A13),"",A13)</f>
        <v>45536</v>
      </c>
      <c r="B27" s="160">
        <f t="shared" si="17"/>
        <v>25220</v>
      </c>
      <c r="C27" s="160">
        <f t="shared" si="17"/>
        <v>26748</v>
      </c>
      <c r="D27" s="160">
        <f t="shared" si="17"/>
        <v>30994</v>
      </c>
      <c r="E27" s="65"/>
      <c r="F27" s="65">
        <f t="shared" ref="F27:I27" si="18">IF(ISBLANK(F13),"",F13)</f>
        <v>45536</v>
      </c>
      <c r="G27" s="160">
        <f t="shared" si="18"/>
        <v>25656</v>
      </c>
      <c r="H27" s="160">
        <f t="shared" si="18"/>
        <v>28107</v>
      </c>
      <c r="I27" s="160">
        <f t="shared" si="18"/>
        <v>26748</v>
      </c>
      <c r="J27" s="65"/>
      <c r="K27" s="65">
        <f t="shared" ref="K27" si="19">IF(ISBLANK(K13),"",K13)</f>
        <v>45536</v>
      </c>
      <c r="L27" s="35">
        <f t="shared" ref="L27:N27" si="20">IF(ISBLANK(L13),#N/A,L13)</f>
        <v>1.0509999999999999</v>
      </c>
      <c r="M27" s="35">
        <f t="shared" si="20"/>
        <v>1.0640000000000001</v>
      </c>
      <c r="N27" s="34">
        <f t="shared" si="20"/>
        <v>1</v>
      </c>
      <c r="P27" s="65">
        <f t="shared" si="10"/>
        <v>45536</v>
      </c>
      <c r="Q27">
        <f t="shared" si="10"/>
        <v>26984</v>
      </c>
      <c r="R27">
        <f t="shared" si="11"/>
        <v>28107</v>
      </c>
      <c r="S27">
        <f t="shared" si="12"/>
        <v>26748</v>
      </c>
      <c r="V27" s="65"/>
    </row>
    <row r="33" collapsed="1" x14ac:dyDescent="0.25"/>
  </sheetData>
  <mergeCells count="8">
    <mergeCell ref="A21:S21"/>
    <mergeCell ref="A2:I3"/>
    <mergeCell ref="V7:X7"/>
    <mergeCell ref="P7:T7"/>
    <mergeCell ref="A7:D7"/>
    <mergeCell ref="F7:I7"/>
    <mergeCell ref="K7:N7"/>
    <mergeCell ref="A5:X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39539"/>
    <pageSetUpPr autoPageBreaks="0"/>
  </sheetPr>
  <dimension ref="A1:AJ49"/>
  <sheetViews>
    <sheetView showGridLines="0" showRowColHeaders="0" showZeros="0" zoomScale="85" zoomScaleNormal="85" workbookViewId="0">
      <selection activeCell="AF49" sqref="AF49:AI49"/>
    </sheetView>
  </sheetViews>
  <sheetFormatPr defaultRowHeight="15" x14ac:dyDescent="0.25"/>
  <cols>
    <col min="1" max="2" width="10.7109375" customWidth="1"/>
    <col min="3" max="3" width="6.85546875" customWidth="1"/>
    <col min="4" max="5" width="2.140625" customWidth="1"/>
    <col min="6" max="6" width="9.85546875" customWidth="1"/>
    <col min="7" max="7" width="8.140625" customWidth="1"/>
    <col min="8" max="9" width="9.85546875" customWidth="1"/>
    <col min="10" max="11" width="11.28515625" customWidth="1"/>
    <col min="12" max="12" width="8.140625" customWidth="1"/>
    <col min="13" max="13" width="9.85546875" customWidth="1"/>
    <col min="14" max="15" width="2.140625" customWidth="1"/>
    <col min="16" max="16" width="9.42578125" customWidth="1"/>
    <col min="17" max="19" width="9.140625" customWidth="1"/>
    <col min="20" max="20" width="9" customWidth="1"/>
    <col min="21" max="23" width="9.140625" customWidth="1"/>
    <col min="24" max="24" width="9.42578125" customWidth="1"/>
    <col min="25" max="26" width="2.140625" customWidth="1"/>
    <col min="27" max="27" width="8.28515625" customWidth="1"/>
    <col min="28" max="28" width="11.85546875" customWidth="1"/>
    <col min="29" max="29" width="12.7109375" customWidth="1"/>
    <col min="30" max="31" width="11.85546875" customWidth="1"/>
    <col min="32" max="32" width="8" customWidth="1"/>
    <col min="33" max="33" width="6" customWidth="1"/>
    <col min="34" max="34" width="8.28515625" customWidth="1"/>
    <col min="35" max="35" width="2.140625" customWidth="1"/>
    <col min="36" max="73" width="9.5703125" customWidth="1"/>
  </cols>
  <sheetData>
    <row r="1" spans="1:36" ht="7.5" customHeight="1" x14ac:dyDescent="0.25">
      <c r="AB1" s="88"/>
    </row>
    <row r="2" spans="1:36" ht="19.5" customHeight="1" x14ac:dyDescent="0.25">
      <c r="A2" s="242"/>
      <c r="B2" s="242"/>
      <c r="C2" s="242"/>
      <c r="D2" s="63"/>
      <c r="E2" s="215" t="s">
        <v>116</v>
      </c>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36" ht="19.5" customHeight="1" x14ac:dyDescent="0.25">
      <c r="A3" s="242"/>
      <c r="B3" s="242"/>
      <c r="C3" s="242"/>
      <c r="D3" s="63"/>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row>
    <row r="4" spans="1:36" ht="7.5" customHeight="1" x14ac:dyDescent="0.25">
      <c r="A4" s="242"/>
      <c r="B4" s="242"/>
      <c r="C4" s="242"/>
      <c r="D4" s="63"/>
      <c r="E4" s="161"/>
      <c r="F4" s="161"/>
      <c r="G4" s="161"/>
      <c r="H4" s="161"/>
      <c r="I4" s="161"/>
      <c r="J4" s="161"/>
      <c r="K4" s="161"/>
      <c r="L4" s="161"/>
      <c r="M4" s="161"/>
      <c r="N4" s="161"/>
      <c r="O4" s="161"/>
      <c r="P4" s="161"/>
      <c r="Q4" s="161"/>
      <c r="R4" s="161"/>
      <c r="S4" s="161"/>
      <c r="T4" s="161"/>
      <c r="U4" s="161"/>
      <c r="V4" s="161"/>
      <c r="W4" s="161"/>
      <c r="X4" s="161"/>
      <c r="Z4" s="123"/>
      <c r="AA4" s="123"/>
      <c r="AE4" s="123"/>
      <c r="AF4" s="123"/>
      <c r="AG4" s="123"/>
      <c r="AH4" s="123"/>
      <c r="AI4" s="111"/>
      <c r="AJ4" s="162"/>
    </row>
    <row r="5" spans="1:36" ht="19.5" customHeight="1" x14ac:dyDescent="0.25">
      <c r="A5" s="242"/>
      <c r="B5" s="242"/>
      <c r="C5" s="242"/>
      <c r="D5" s="63"/>
      <c r="E5" s="247" t="s">
        <v>123</v>
      </c>
      <c r="F5" s="247"/>
      <c r="G5" s="247"/>
      <c r="H5" s="247"/>
      <c r="I5" s="247"/>
      <c r="J5" s="247"/>
      <c r="K5" s="247"/>
      <c r="L5" s="247"/>
      <c r="M5" s="247"/>
      <c r="N5" s="247"/>
      <c r="O5" s="247"/>
      <c r="P5" s="247"/>
      <c r="Q5" s="247"/>
      <c r="R5" s="247"/>
      <c r="S5" s="247"/>
      <c r="T5" s="247"/>
      <c r="U5" s="247"/>
      <c r="V5" s="247"/>
      <c r="W5" s="247"/>
      <c r="X5" s="247"/>
      <c r="Y5" s="247"/>
      <c r="Z5" s="247"/>
      <c r="AA5" s="123"/>
      <c r="AB5" s="180"/>
      <c r="AE5" s="123"/>
      <c r="AF5" s="123"/>
      <c r="AG5" s="243" t="s">
        <v>86</v>
      </c>
      <c r="AH5" s="243"/>
      <c r="AI5" s="243"/>
      <c r="AJ5" s="162"/>
    </row>
    <row r="6" spans="1:36" ht="19.5" customHeight="1" x14ac:dyDescent="0.25">
      <c r="A6" s="242"/>
      <c r="B6" s="242"/>
      <c r="C6" s="242"/>
      <c r="D6" s="63"/>
      <c r="E6" s="247" t="s">
        <v>121</v>
      </c>
      <c r="F6" s="247"/>
      <c r="G6" s="247"/>
      <c r="H6" s="247"/>
      <c r="I6" s="247"/>
      <c r="J6" s="247"/>
      <c r="K6" s="247"/>
      <c r="L6" s="247"/>
      <c r="M6" s="247"/>
      <c r="N6" s="247"/>
      <c r="O6" s="247"/>
      <c r="P6" s="247"/>
      <c r="Q6" s="247"/>
      <c r="R6" s="247"/>
      <c r="S6" s="247"/>
      <c r="T6" s="247"/>
      <c r="U6" s="247"/>
      <c r="V6" s="247"/>
      <c r="W6" s="247"/>
      <c r="X6" s="247"/>
      <c r="Y6" s="247"/>
      <c r="Z6" s="247"/>
      <c r="AA6" s="247"/>
      <c r="AB6" s="247"/>
      <c r="AC6" s="123"/>
      <c r="AD6" s="123"/>
      <c r="AE6" s="123"/>
      <c r="AF6" s="123"/>
      <c r="AG6" s="243" t="s">
        <v>85</v>
      </c>
      <c r="AH6" s="243"/>
      <c r="AI6" s="243"/>
      <c r="AJ6" s="162"/>
    </row>
    <row r="7" spans="1:36" ht="7.5" customHeight="1" x14ac:dyDescent="0.25">
      <c r="D7" s="28"/>
      <c r="E7" s="28"/>
      <c r="F7" s="28"/>
      <c r="G7" s="28"/>
      <c r="M7" s="5"/>
      <c r="Z7" s="36"/>
      <c r="AA7" s="36"/>
      <c r="AB7" s="36"/>
      <c r="AC7" s="36"/>
      <c r="AD7" s="36"/>
      <c r="AE7" s="36"/>
      <c r="AF7" s="36"/>
      <c r="AG7" s="36"/>
      <c r="AH7" s="36"/>
      <c r="AI7" s="36"/>
    </row>
    <row r="8" spans="1:36" ht="7.5" customHeight="1" x14ac:dyDescent="0.25">
      <c r="B8" s="28"/>
      <c r="C8" s="28"/>
      <c r="D8" s="28"/>
      <c r="E8" s="92"/>
      <c r="F8" s="93"/>
      <c r="G8" s="94"/>
      <c r="H8" s="94"/>
      <c r="I8" s="94"/>
      <c r="J8" s="94"/>
      <c r="K8" s="94"/>
      <c r="L8" s="94"/>
      <c r="M8" s="94"/>
      <c r="N8" s="95"/>
      <c r="Z8" s="92"/>
      <c r="AA8" s="93"/>
      <c r="AB8" s="94"/>
      <c r="AC8" s="94"/>
      <c r="AD8" s="94"/>
      <c r="AE8" s="94"/>
      <c r="AF8" s="94"/>
      <c r="AG8" s="94"/>
      <c r="AH8" s="94"/>
      <c r="AI8" s="95"/>
    </row>
    <row r="9" spans="1:36" ht="19.5" customHeight="1" x14ac:dyDescent="0.25">
      <c r="B9" s="1"/>
      <c r="E9" s="248" t="s">
        <v>111</v>
      </c>
      <c r="F9" s="249"/>
      <c r="G9" s="249"/>
      <c r="H9" s="249"/>
      <c r="I9" s="249"/>
      <c r="J9" s="249"/>
      <c r="K9" s="249"/>
      <c r="L9" s="249"/>
      <c r="M9" s="249"/>
      <c r="N9" s="250"/>
      <c r="Z9" s="244" t="s">
        <v>172</v>
      </c>
      <c r="AA9" s="245"/>
      <c r="AB9" s="245"/>
      <c r="AC9" s="245"/>
      <c r="AD9" s="245"/>
      <c r="AE9" s="245"/>
      <c r="AF9" s="245"/>
      <c r="AG9" s="245"/>
      <c r="AH9" s="245"/>
      <c r="AI9" s="246"/>
    </row>
    <row r="10" spans="1:36" ht="7.5" customHeight="1" x14ac:dyDescent="0.35">
      <c r="B10" s="1"/>
      <c r="E10" s="96"/>
      <c r="F10" s="77"/>
      <c r="G10" s="77"/>
      <c r="H10" s="77"/>
      <c r="I10" s="77"/>
      <c r="J10" s="77"/>
      <c r="K10" s="77"/>
      <c r="L10" s="77"/>
      <c r="M10" s="77"/>
      <c r="N10" s="97"/>
      <c r="Z10" s="104"/>
      <c r="AA10" s="74"/>
      <c r="AB10" s="74"/>
      <c r="AC10" s="74"/>
      <c r="AD10" s="74"/>
      <c r="AE10" s="74"/>
      <c r="AF10" s="74"/>
      <c r="AG10" s="74"/>
      <c r="AH10" s="74"/>
      <c r="AI10" s="105"/>
    </row>
    <row r="11" spans="1:36" ht="17.25" customHeight="1" x14ac:dyDescent="0.35">
      <c r="E11" s="98"/>
      <c r="H11" s="255" t="s">
        <v>43</v>
      </c>
      <c r="I11" s="256"/>
      <c r="J11" s="255" t="s">
        <v>105</v>
      </c>
      <c r="K11" s="256"/>
      <c r="N11" s="99"/>
      <c r="Z11" s="100"/>
      <c r="AB11" s="37"/>
      <c r="AC11" s="37"/>
      <c r="AD11" s="37"/>
      <c r="AE11" s="37"/>
      <c r="AF11" s="37"/>
      <c r="AG11" s="37"/>
      <c r="AH11" s="37"/>
      <c r="AI11" s="99"/>
    </row>
    <row r="12" spans="1:36" ht="18.75" customHeight="1" x14ac:dyDescent="0.25">
      <c r="E12" s="100"/>
      <c r="H12" s="257"/>
      <c r="I12" s="258"/>
      <c r="J12" s="257"/>
      <c r="K12" s="258"/>
      <c r="N12" s="99"/>
      <c r="Z12" s="100"/>
      <c r="AB12" s="251" t="s">
        <v>46</v>
      </c>
      <c r="AC12" s="251" t="s">
        <v>58</v>
      </c>
      <c r="AD12" s="252" t="s">
        <v>82</v>
      </c>
      <c r="AE12" s="251" t="s">
        <v>59</v>
      </c>
      <c r="AF12" s="255" t="s">
        <v>83</v>
      </c>
      <c r="AG12" s="256"/>
      <c r="AH12" s="64"/>
      <c r="AI12" s="99"/>
    </row>
    <row r="13" spans="1:36" ht="15.75" customHeight="1" x14ac:dyDescent="0.25">
      <c r="E13" s="100"/>
      <c r="H13" s="259"/>
      <c r="I13" s="260"/>
      <c r="J13" s="259"/>
      <c r="K13" s="260"/>
      <c r="N13" s="99"/>
      <c r="Z13" s="100"/>
      <c r="AB13" s="251"/>
      <c r="AC13" s="251"/>
      <c r="AD13" s="253"/>
      <c r="AE13" s="251"/>
      <c r="AF13" s="257"/>
      <c r="AG13" s="258"/>
      <c r="AH13" s="64"/>
      <c r="AI13" s="99"/>
    </row>
    <row r="14" spans="1:36" ht="7.5" customHeight="1" x14ac:dyDescent="0.25">
      <c r="E14" s="100"/>
      <c r="H14" s="78"/>
      <c r="I14" s="78"/>
      <c r="J14" s="78"/>
      <c r="K14" s="78"/>
      <c r="N14" s="99"/>
      <c r="Z14" s="100"/>
      <c r="AB14" s="251"/>
      <c r="AC14" s="251"/>
      <c r="AD14" s="254"/>
      <c r="AE14" s="251"/>
      <c r="AF14" s="259"/>
      <c r="AG14" s="260"/>
      <c r="AI14" s="99"/>
    </row>
    <row r="15" spans="1:36" ht="17.25" customHeight="1" x14ac:dyDescent="0.25">
      <c r="E15" s="100"/>
      <c r="H15" s="240">
        <f>IF(ISBLANK(AB17),"",AB17)</f>
        <v>45261</v>
      </c>
      <c r="I15" s="262"/>
      <c r="J15" s="266"/>
      <c r="K15" s="267"/>
      <c r="N15" s="99"/>
      <c r="Z15" s="100"/>
      <c r="AB15" s="72"/>
      <c r="AC15" s="72"/>
      <c r="AD15" s="72"/>
      <c r="AE15" s="72"/>
      <c r="AF15" s="72"/>
      <c r="AG15" s="72"/>
      <c r="AH15" s="38"/>
      <c r="AI15" s="99"/>
    </row>
    <row r="16" spans="1:36" ht="17.25" customHeight="1" x14ac:dyDescent="0.25">
      <c r="E16" s="100"/>
      <c r="H16" s="263"/>
      <c r="I16" s="264"/>
      <c r="J16" s="268"/>
      <c r="K16" s="269"/>
      <c r="N16" s="99"/>
      <c r="Z16" s="100"/>
      <c r="AB16" s="72"/>
      <c r="AC16" s="72"/>
      <c r="AD16" s="72"/>
      <c r="AE16" s="72"/>
      <c r="AF16" s="72"/>
      <c r="AG16" s="72"/>
      <c r="AH16" s="38"/>
      <c r="AI16" s="99"/>
    </row>
    <row r="17" spans="3:35" ht="16.5" customHeight="1" x14ac:dyDescent="0.25">
      <c r="E17" s="100"/>
      <c r="H17" s="241"/>
      <c r="I17" s="265"/>
      <c r="J17" s="270"/>
      <c r="K17" s="271"/>
      <c r="N17" s="99"/>
      <c r="Z17" s="100"/>
      <c r="AB17" s="240">
        <f>IF(ISBLANK('Pivot tables'!V10),"",'Pivot tables'!V10)</f>
        <v>45261</v>
      </c>
      <c r="AC17" s="238">
        <f>IF(ISBLANK('Pivot tables'!W10),"",'Pivot tables'!W10)</f>
        <v>35241</v>
      </c>
      <c r="AD17" s="236" t="str">
        <f>IF(ISBLANK('Pivot tables'!V10),"",IF(OR(ISBLANK('Pivot tables'!X10),'Pivot tables'!X10=0),"NO","YES"))</f>
        <v>YES</v>
      </c>
      <c r="AE17" s="230">
        <f>IF(ISBLANK('Pivot tables'!W10),"",IF(OR(ISBLANK('Pivot tables'!X10),'Pivot tables'!X10=0),"Same as published",'Pivot tables'!X10))</f>
        <v>35695</v>
      </c>
      <c r="AF17" s="232">
        <f>IFERROR((AE17-AC17)/AE17,"")</f>
        <v>1.2718868188821965E-2</v>
      </c>
      <c r="AG17" s="272"/>
      <c r="AH17" s="38"/>
      <c r="AI17" s="99"/>
    </row>
    <row r="18" spans="3:35" ht="16.5" customHeight="1" x14ac:dyDescent="0.25">
      <c r="E18" s="100"/>
      <c r="H18" s="240">
        <f>IF(ISBLANK(AB19),"",AB19)</f>
        <v>45352</v>
      </c>
      <c r="I18" s="262"/>
      <c r="J18" s="266"/>
      <c r="K18" s="267"/>
      <c r="N18" s="99"/>
      <c r="Z18" s="100"/>
      <c r="AB18" s="241"/>
      <c r="AC18" s="239"/>
      <c r="AD18" s="237"/>
      <c r="AE18" s="231"/>
      <c r="AF18" s="233"/>
      <c r="AG18" s="273"/>
      <c r="AH18" s="38"/>
      <c r="AI18" s="99"/>
    </row>
    <row r="19" spans="3:35" ht="16.5" customHeight="1" x14ac:dyDescent="0.3">
      <c r="C19" s="31"/>
      <c r="E19" s="100"/>
      <c r="H19" s="263"/>
      <c r="I19" s="264"/>
      <c r="J19" s="268"/>
      <c r="K19" s="269"/>
      <c r="L19" s="31"/>
      <c r="M19" s="31"/>
      <c r="N19" s="99"/>
      <c r="Z19" s="100"/>
      <c r="AB19" s="240">
        <f>IF(ISBLANK('Pivot tables'!V11),"",'Pivot tables'!V11)</f>
        <v>45352</v>
      </c>
      <c r="AC19" s="238">
        <f>IF(ISBLANK('Pivot tables'!W11),"",'Pivot tables'!W11)</f>
        <v>59685</v>
      </c>
      <c r="AD19" s="236" t="str">
        <f>IF(ISBLANK('Pivot tables'!V11),"",IF(OR(ISBLANK('Pivot tables'!X11),'Pivot tables'!X11=0),"NO","YES"))</f>
        <v>YES</v>
      </c>
      <c r="AE19" s="230">
        <f>IF(ISBLANK('Pivot tables'!W11),"",IF(OR(ISBLANK('Pivot tables'!X11),'Pivot tables'!X11=0),"Same as published",'Pivot tables'!X11))</f>
        <v>60508</v>
      </c>
      <c r="AF19" s="232">
        <f>IFERROR((AE19-AC19)/AE19,"")</f>
        <v>1.3601507238712236E-2</v>
      </c>
      <c r="AG19" s="234"/>
      <c r="AH19" s="38"/>
      <c r="AI19" s="99"/>
    </row>
    <row r="20" spans="3:35" ht="16.5" customHeight="1" x14ac:dyDescent="0.25">
      <c r="E20" s="100"/>
      <c r="H20" s="241"/>
      <c r="I20" s="265"/>
      <c r="J20" s="270"/>
      <c r="K20" s="271"/>
      <c r="N20" s="99"/>
      <c r="Z20" s="100"/>
      <c r="AB20" s="241"/>
      <c r="AC20" s="239"/>
      <c r="AD20" s="237"/>
      <c r="AE20" s="231"/>
      <c r="AF20" s="233"/>
      <c r="AG20" s="235"/>
      <c r="AH20" s="38"/>
      <c r="AI20" s="99"/>
    </row>
    <row r="21" spans="3:35" ht="16.5" customHeight="1" x14ac:dyDescent="0.25">
      <c r="E21" s="100"/>
      <c r="H21" s="240">
        <f>IF(ISBLANK(AB21),"",AB21)</f>
        <v>45444</v>
      </c>
      <c r="I21" s="262"/>
      <c r="J21" s="266"/>
      <c r="K21" s="267"/>
      <c r="N21" s="99"/>
      <c r="Z21" s="100"/>
      <c r="AB21" s="240">
        <f>IF(ISBLANK('Pivot tables'!V12),"",'Pivot tables'!V12)</f>
        <v>45444</v>
      </c>
      <c r="AC21" s="238">
        <f>IF(ISBLANK('Pivot tables'!W12),"",'Pivot tables'!W12)</f>
        <v>42688</v>
      </c>
      <c r="AD21" s="236" t="str">
        <f>IF(ISBLANK('Pivot tables'!V12),"",IF(OR(ISBLANK('Pivot tables'!X12),'Pivot tables'!X12=0),"NO","YES"))</f>
        <v>YES</v>
      </c>
      <c r="AE21" s="230">
        <f>IF(ISBLANK('Pivot tables'!W12),"",IF(OR(ISBLANK('Pivot tables'!X12),'Pivot tables'!X12=0),"Same as published",'Pivot tables'!X12))</f>
        <v>43205</v>
      </c>
      <c r="AF21" s="232">
        <f>IFERROR((AE21-AC21)/AE21,"")</f>
        <v>1.1966207614859392E-2</v>
      </c>
      <c r="AG21" s="234"/>
      <c r="AH21" s="38"/>
      <c r="AI21" s="99"/>
    </row>
    <row r="22" spans="3:35" ht="16.5" customHeight="1" x14ac:dyDescent="0.25">
      <c r="E22" s="100"/>
      <c r="H22" s="263"/>
      <c r="I22" s="264"/>
      <c r="J22" s="268"/>
      <c r="K22" s="269"/>
      <c r="N22" s="99"/>
      <c r="Z22" s="100"/>
      <c r="AB22" s="241"/>
      <c r="AC22" s="239"/>
      <c r="AD22" s="237"/>
      <c r="AE22" s="231"/>
      <c r="AF22" s="233"/>
      <c r="AG22" s="235"/>
      <c r="AH22" s="38"/>
      <c r="AI22" s="99"/>
    </row>
    <row r="23" spans="3:35" ht="16.5" customHeight="1" x14ac:dyDescent="0.25">
      <c r="E23" s="100"/>
      <c r="H23" s="241"/>
      <c r="I23" s="265"/>
      <c r="J23" s="270"/>
      <c r="K23" s="271"/>
      <c r="N23" s="99"/>
      <c r="Z23" s="100"/>
      <c r="AB23" s="240">
        <f>IF(ISBLANK('Pivot tables'!V13),"",'Pivot tables'!V13)</f>
        <v>45536</v>
      </c>
      <c r="AC23" s="238">
        <f>IF(ISBLANK('Pivot tables'!W13),"",'Pivot tables'!W13)</f>
        <v>28107</v>
      </c>
      <c r="AD23" s="236" t="str">
        <f>IF(ISBLANK('Pivot tables'!V13),"",IF(OR(ISBLANK('Pivot tables'!X13),'Pivot tables'!X13=0),"NO","YES"))</f>
        <v>YES</v>
      </c>
      <c r="AE23" s="230">
        <f>IF(ISBLANK('Pivot tables'!W13),"",IF(OR(ISBLANK('Pivot tables'!X13),'Pivot tables'!X13=0),"Same as published",'Pivot tables'!X13))</f>
        <v>28454</v>
      </c>
      <c r="AF23" s="232">
        <f>IFERROR((AE23-AC23)/AE23,"")</f>
        <v>1.2195121951219513E-2</v>
      </c>
      <c r="AG23" s="234"/>
      <c r="AH23" s="38"/>
      <c r="AI23" s="99"/>
    </row>
    <row r="24" spans="3:35" ht="16.5" customHeight="1" x14ac:dyDescent="0.25">
      <c r="E24" s="100"/>
      <c r="H24" s="240">
        <f>IF(ISBLANK(AB23),"",AB23)</f>
        <v>45536</v>
      </c>
      <c r="I24" s="262"/>
      <c r="J24" s="266"/>
      <c r="K24" s="267"/>
      <c r="N24" s="99"/>
      <c r="Z24" s="100"/>
      <c r="AB24" s="241"/>
      <c r="AC24" s="239"/>
      <c r="AD24" s="237"/>
      <c r="AE24" s="231"/>
      <c r="AF24" s="233"/>
      <c r="AG24" s="235"/>
      <c r="AH24" s="73"/>
      <c r="AI24" s="99"/>
    </row>
    <row r="25" spans="3:35" ht="16.5" customHeight="1" x14ac:dyDescent="0.25">
      <c r="E25" s="100"/>
      <c r="H25" s="263"/>
      <c r="I25" s="264"/>
      <c r="J25" s="268"/>
      <c r="K25" s="269"/>
      <c r="N25" s="99"/>
      <c r="Z25" s="100"/>
      <c r="AB25" s="70"/>
      <c r="AC25" s="40"/>
      <c r="AD25" s="39"/>
      <c r="AE25" s="38"/>
      <c r="AF25" s="71"/>
      <c r="AI25" s="99"/>
    </row>
    <row r="26" spans="3:35" ht="16.5" customHeight="1" x14ac:dyDescent="0.25">
      <c r="E26" s="100"/>
      <c r="H26" s="241"/>
      <c r="I26" s="265"/>
      <c r="J26" s="270"/>
      <c r="K26" s="271"/>
      <c r="N26" s="99"/>
      <c r="Z26" s="100"/>
      <c r="AB26" s="70"/>
      <c r="AC26" s="40"/>
      <c r="AD26" s="39"/>
      <c r="AE26" s="38"/>
      <c r="AF26" s="71"/>
      <c r="AI26" s="99"/>
    </row>
    <row r="27" spans="3:35" ht="10.5" customHeight="1" x14ac:dyDescent="0.25">
      <c r="E27" s="101"/>
      <c r="F27" s="102"/>
      <c r="G27" s="102"/>
      <c r="H27" s="102"/>
      <c r="I27" s="102"/>
      <c r="J27" s="102"/>
      <c r="K27" s="102"/>
      <c r="L27" s="102"/>
      <c r="M27" s="102"/>
      <c r="N27" s="103"/>
      <c r="Z27" s="101"/>
      <c r="AA27" s="102"/>
      <c r="AB27" s="106"/>
      <c r="AC27" s="107"/>
      <c r="AD27" s="108"/>
      <c r="AE27" s="109"/>
      <c r="AF27" s="110"/>
      <c r="AG27" s="102"/>
      <c r="AH27" s="102"/>
      <c r="AI27" s="103"/>
    </row>
    <row r="28" spans="3:35" ht="10.5" customHeight="1" x14ac:dyDescent="0.25"/>
    <row r="29" spans="3:35" ht="16.5" customHeight="1" x14ac:dyDescent="0.25"/>
    <row r="30" spans="3:35" ht="10.5" customHeight="1" x14ac:dyDescent="0.25"/>
    <row r="31" spans="3:35" ht="16.5" customHeight="1" x14ac:dyDescent="0.25"/>
    <row r="32" spans="3:35" ht="16.5" customHeight="1" x14ac:dyDescent="0.25"/>
    <row r="35" ht="16.5" customHeight="1" x14ac:dyDescent="0.25"/>
    <row r="36" ht="16.5" customHeight="1" x14ac:dyDescent="0.25"/>
    <row r="37" ht="16.5" customHeight="1" x14ac:dyDescent="0.25"/>
    <row r="38" ht="16.5" customHeight="1" x14ac:dyDescent="0.25"/>
    <row r="39" ht="16.5" customHeight="1" x14ac:dyDescent="0.25"/>
    <row r="47" ht="10.5" customHeight="1" x14ac:dyDescent="0.25"/>
    <row r="49" spans="20:35" ht="15" customHeight="1" x14ac:dyDescent="0.25">
      <c r="T49" s="181"/>
      <c r="U49" s="181"/>
      <c r="V49" s="181"/>
      <c r="W49" s="181"/>
      <c r="X49" s="181"/>
      <c r="Y49" s="181"/>
      <c r="Z49" s="181"/>
      <c r="AA49" s="181"/>
      <c r="AB49" s="181"/>
      <c r="AC49" s="181"/>
      <c r="AD49" s="181"/>
      <c r="AF49" s="261" t="s">
        <v>153</v>
      </c>
      <c r="AG49" s="261"/>
      <c r="AH49" s="261"/>
      <c r="AI49" s="261"/>
    </row>
  </sheetData>
  <sheetProtection algorithmName="SHA-512" hashValue="GrA1QJ8Fqj7iw3rCIWAsKoghLtPZ1q54dawDquI5RUuUlmrKM1zUNH1WyTGNSkThvl+wj22458JVRxu8fVEhrg==" saltValue="t2CMdMb0dS6kbxdi8n0UAQ==" spinCount="100000" sheet="1" objects="1" scenarios="1" selectLockedCells="1" pivotTables="0"/>
  <mergeCells count="48">
    <mergeCell ref="H11:I13"/>
    <mergeCell ref="J11:K13"/>
    <mergeCell ref="AF49:AI49"/>
    <mergeCell ref="H24:I26"/>
    <mergeCell ref="H21:I23"/>
    <mergeCell ref="H18:I20"/>
    <mergeCell ref="J18:K20"/>
    <mergeCell ref="J21:K23"/>
    <mergeCell ref="J24:K26"/>
    <mergeCell ref="AG17:AG18"/>
    <mergeCell ref="AG19:AG20"/>
    <mergeCell ref="AE19:AE20"/>
    <mergeCell ref="H15:I17"/>
    <mergeCell ref="J15:K17"/>
    <mergeCell ref="AF21:AF22"/>
    <mergeCell ref="AE23:AE24"/>
    <mergeCell ref="AE12:AE14"/>
    <mergeCell ref="AD12:AD14"/>
    <mergeCell ref="AC12:AC14"/>
    <mergeCell ref="AB12:AB14"/>
    <mergeCell ref="AF12:AG14"/>
    <mergeCell ref="A2:C6"/>
    <mergeCell ref="E2:AI3"/>
    <mergeCell ref="AG5:AI5"/>
    <mergeCell ref="AG6:AI6"/>
    <mergeCell ref="Z9:AI9"/>
    <mergeCell ref="E5:Z5"/>
    <mergeCell ref="E6:AB6"/>
    <mergeCell ref="E9:N9"/>
    <mergeCell ref="AD17:AD18"/>
    <mergeCell ref="AC17:AC18"/>
    <mergeCell ref="AB17:AB18"/>
    <mergeCell ref="AD23:AD24"/>
    <mergeCell ref="AC23:AC24"/>
    <mergeCell ref="AB23:AB24"/>
    <mergeCell ref="AD21:AD22"/>
    <mergeCell ref="AC21:AC22"/>
    <mergeCell ref="AB21:AB22"/>
    <mergeCell ref="AB19:AB20"/>
    <mergeCell ref="AD19:AD20"/>
    <mergeCell ref="AC19:AC20"/>
    <mergeCell ref="AE17:AE18"/>
    <mergeCell ref="AF17:AF18"/>
    <mergeCell ref="AF19:AF20"/>
    <mergeCell ref="AG21:AG22"/>
    <mergeCell ref="AG23:AG24"/>
    <mergeCell ref="AF23:AF24"/>
    <mergeCell ref="AE21:AE22"/>
  </mergeCells>
  <conditionalFormatting sqref="AD17 AD19 AD21 AD23 AD25:AD27">
    <cfRule type="cellIs" dxfId="0" priority="1" operator="equal">
      <formula>"YES"</formula>
    </cfRule>
  </conditionalFormatting>
  <hyperlinks>
    <hyperlink ref="AG5" location="Introduction!A1" display="Back to index" xr:uid="{00000000-0004-0000-0400-000000000000}"/>
    <hyperlink ref="AG6" location="'Summary table'!A1" display="Summary table" xr:uid="{00000000-0004-0000-0400-000001000000}"/>
    <hyperlink ref="AF49" r:id="rId1" display="&lt;https://www.ncver.edu.au/publications/publications/all-publications/a-guide-to-the-apprentices-and-trainees-estimates-review-dashboard&gt;." xr:uid="{00000000-0004-0000-0400-000002000000}"/>
  </hyperlinks>
  <pageMargins left="0.7" right="0.7" top="0.75" bottom="0.75" header="0.3" footer="0.3"/>
  <pageSetup paperSize="9" scale="39" orientation="landscape" r:id="rId2"/>
  <drawing r:id="rId3"/>
  <legacy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Q45"/>
  <sheetViews>
    <sheetView showGridLines="0" showRowColHeaders="0" zoomScaleNormal="100" workbookViewId="0">
      <selection activeCell="P15" sqref="P15:Q15"/>
    </sheetView>
  </sheetViews>
  <sheetFormatPr defaultRowHeight="15" x14ac:dyDescent="0.25"/>
  <cols>
    <col min="1" max="1" width="3.28515625" customWidth="1"/>
    <col min="2" max="2" width="7.28515625" customWidth="1"/>
    <col min="3" max="3" width="18" customWidth="1"/>
    <col min="4" max="9" width="10.5703125" customWidth="1"/>
    <col min="10" max="10" width="11.7109375" customWidth="1"/>
    <col min="11" max="14" width="10.5703125" customWidth="1"/>
    <col min="15" max="15" width="11.140625" customWidth="1"/>
    <col min="16" max="16" width="12.140625" customWidth="1"/>
  </cols>
  <sheetData>
    <row r="1" spans="2:17" ht="12" customHeight="1" x14ac:dyDescent="0.25"/>
    <row r="2" spans="2:17" ht="15" customHeight="1" x14ac:dyDescent="0.25">
      <c r="B2" s="215" t="s">
        <v>117</v>
      </c>
      <c r="C2" s="215"/>
      <c r="D2" s="215"/>
      <c r="E2" s="215"/>
      <c r="F2" s="215"/>
      <c r="G2" s="215"/>
      <c r="H2" s="215"/>
      <c r="I2" s="215"/>
      <c r="J2" s="215"/>
      <c r="K2" s="215"/>
      <c r="L2" s="215"/>
      <c r="M2" s="215"/>
      <c r="N2" s="215"/>
      <c r="O2" s="215"/>
    </row>
    <row r="3" spans="2:17" ht="15" customHeight="1" x14ac:dyDescent="0.25">
      <c r="B3" s="215"/>
      <c r="C3" s="215"/>
      <c r="D3" s="215"/>
      <c r="E3" s="215"/>
      <c r="F3" s="215"/>
      <c r="G3" s="215"/>
      <c r="H3" s="215"/>
      <c r="I3" s="215"/>
      <c r="J3" s="215"/>
      <c r="K3" s="215"/>
      <c r="L3" s="215"/>
      <c r="M3" s="215"/>
      <c r="N3" s="215"/>
      <c r="O3" s="215"/>
    </row>
    <row r="4" spans="2:17" ht="33.6" customHeight="1" x14ac:dyDescent="0.25">
      <c r="B4" s="215"/>
      <c r="C4" s="215"/>
      <c r="D4" s="215"/>
      <c r="E4" s="215"/>
      <c r="F4" s="215"/>
      <c r="G4" s="215"/>
      <c r="H4" s="215"/>
      <c r="I4" s="215"/>
      <c r="J4" s="215"/>
      <c r="K4" s="215"/>
      <c r="L4" s="215"/>
      <c r="M4" s="215"/>
      <c r="N4" s="215"/>
      <c r="O4" s="215"/>
    </row>
    <row r="5" spans="2:17" ht="35.25" hidden="1" customHeight="1" x14ac:dyDescent="0.25">
      <c r="E5" s="293"/>
      <c r="F5" s="293"/>
      <c r="G5" s="293"/>
      <c r="H5" s="293"/>
    </row>
    <row r="6" spans="2:17" ht="40.5" hidden="1" customHeight="1" thickBot="1" x14ac:dyDescent="0.3"/>
    <row r="7" spans="2:17" ht="49.5" hidden="1" customHeight="1" x14ac:dyDescent="0.25">
      <c r="E7" s="294" t="s">
        <v>87</v>
      </c>
      <c r="F7" s="295"/>
      <c r="G7" s="295"/>
      <c r="H7" s="296"/>
    </row>
    <row r="8" spans="2:17" ht="37.5" hidden="1" customHeight="1" thickBot="1" x14ac:dyDescent="0.3">
      <c r="E8" s="297"/>
      <c r="F8" s="298"/>
      <c r="G8" s="298"/>
      <c r="H8" s="299"/>
    </row>
    <row r="9" spans="2:17" ht="48" hidden="1" customHeight="1" x14ac:dyDescent="0.25">
      <c r="E9" s="1"/>
      <c r="F9" s="1"/>
      <c r="G9" s="1"/>
      <c r="H9" s="1"/>
    </row>
    <row r="10" spans="2:17" ht="42" hidden="1" customHeight="1" x14ac:dyDescent="0.25">
      <c r="E10" s="287" t="s">
        <v>35</v>
      </c>
      <c r="F10" s="288"/>
      <c r="G10" s="289"/>
      <c r="H10" s="86">
        <v>125</v>
      </c>
    </row>
    <row r="11" spans="2:17" ht="50.25" hidden="1" customHeight="1" x14ac:dyDescent="0.25">
      <c r="E11" s="290" t="s">
        <v>42</v>
      </c>
      <c r="F11" s="291"/>
      <c r="G11" s="292"/>
      <c r="H11" s="26">
        <f>VLOOKUP($H$10,'Data validation'!$E:$K,7,0)</f>
        <v>45809</v>
      </c>
    </row>
    <row r="12" spans="2:17" ht="49.5" hidden="1" customHeight="1" x14ac:dyDescent="0.25">
      <c r="E12" s="9"/>
      <c r="F12" s="9"/>
      <c r="G12" s="9"/>
      <c r="H12" s="8"/>
    </row>
    <row r="13" spans="2:17" ht="33.6" customHeight="1" x14ac:dyDescent="0.25">
      <c r="C13" s="1"/>
      <c r="D13" s="1"/>
      <c r="E13" s="1"/>
      <c r="F13" s="1"/>
      <c r="G13" s="1"/>
    </row>
    <row r="14" spans="2:17" ht="18" x14ac:dyDescent="0.25">
      <c r="B14" s="211" t="s">
        <v>78</v>
      </c>
      <c r="C14" s="211"/>
      <c r="D14" s="211"/>
      <c r="E14" s="211"/>
      <c r="F14" s="211"/>
      <c r="G14" s="211"/>
      <c r="H14" s="211"/>
      <c r="I14" s="211"/>
      <c r="J14" s="211"/>
      <c r="K14" s="211"/>
      <c r="L14" s="211"/>
      <c r="M14" s="211"/>
      <c r="N14" s="211"/>
      <c r="O14" s="211"/>
    </row>
    <row r="15" spans="2:17" ht="15" customHeight="1" x14ac:dyDescent="0.25">
      <c r="B15" s="111"/>
      <c r="C15" s="111"/>
      <c r="D15" s="111"/>
      <c r="E15" s="111"/>
      <c r="F15" s="111"/>
      <c r="G15" s="111"/>
      <c r="H15" s="111"/>
      <c r="I15" s="111"/>
      <c r="J15" s="111"/>
      <c r="K15" s="111"/>
      <c r="N15" s="111"/>
      <c r="P15" s="286" t="s">
        <v>84</v>
      </c>
      <c r="Q15" s="286"/>
    </row>
    <row r="16" spans="2:17" ht="15.75" customHeight="1" x14ac:dyDescent="0.25">
      <c r="B16" s="111"/>
      <c r="C16" s="130" t="s">
        <v>34</v>
      </c>
      <c r="D16" s="131">
        <f>$H$10-7</f>
        <v>118</v>
      </c>
      <c r="E16" s="131">
        <f>$H$10-6</f>
        <v>119</v>
      </c>
      <c r="F16" s="131">
        <f>$H$10-5</f>
        <v>120</v>
      </c>
      <c r="G16" s="131">
        <f>$H$10-4</f>
        <v>121</v>
      </c>
      <c r="H16" s="131">
        <f>$H$10-3</f>
        <v>122</v>
      </c>
      <c r="I16" s="131">
        <f>$H$10-2</f>
        <v>123</v>
      </c>
      <c r="J16" s="131">
        <f>$H$10-1</f>
        <v>124</v>
      </c>
      <c r="K16" s="131">
        <f>$H$10</f>
        <v>125</v>
      </c>
      <c r="N16" s="111"/>
      <c r="O16" s="111"/>
      <c r="P16" s="286" t="s">
        <v>86</v>
      </c>
      <c r="Q16" s="286"/>
    </row>
    <row r="17" spans="2:16" ht="15" customHeight="1" x14ac:dyDescent="0.25">
      <c r="B17" s="111"/>
      <c r="C17" s="130" t="s">
        <v>76</v>
      </c>
      <c r="D17" s="132">
        <f>VLOOKUP(D$16,'Data validation'!$E:$K,4,FALSE)</f>
        <v>45261</v>
      </c>
      <c r="E17" s="132">
        <f>VLOOKUP(E$16,'Data validation'!$E:$K,4,FALSE)</f>
        <v>45352</v>
      </c>
      <c r="F17" s="132">
        <f>VLOOKUP(F$16,'Data validation'!$E:$K,4,FALSE)</f>
        <v>45444</v>
      </c>
      <c r="G17" s="132">
        <f>VLOOKUP(G$16,'Data validation'!$E:$K,4,FALSE)</f>
        <v>45536</v>
      </c>
      <c r="H17" s="132">
        <f>VLOOKUP(H$16,'Data validation'!$E:$K,4,FALSE)</f>
        <v>45627</v>
      </c>
      <c r="I17" s="132">
        <f>VLOOKUP(I$16,'Data validation'!$E:$K,4,FALSE)</f>
        <v>45717</v>
      </c>
      <c r="J17" s="132">
        <f>VLOOKUP(J$16,'Data validation'!$E:$K,4,FALSE)</f>
        <v>45809</v>
      </c>
      <c r="K17" s="132">
        <f>VLOOKUP(K$16,'Data validation'!$E:$K,4,FALSE)</f>
        <v>45901</v>
      </c>
      <c r="L17" s="111"/>
      <c r="M17" s="111"/>
      <c r="N17" s="111"/>
      <c r="O17" s="111"/>
    </row>
    <row r="18" spans="2:16" ht="15" customHeight="1" thickBot="1" x14ac:dyDescent="0.3">
      <c r="B18" s="111"/>
      <c r="C18" s="130" t="s">
        <v>77</v>
      </c>
      <c r="D18" s="133">
        <f>VLOOKUP(D$16,'Data validation'!$E:$K,7,FALSE)</f>
        <v>45170</v>
      </c>
      <c r="E18" s="133">
        <f>VLOOKUP(E$16,'Data validation'!$E:$K,7,FALSE)</f>
        <v>45261</v>
      </c>
      <c r="F18" s="133">
        <f>VLOOKUP(F$16,'Data validation'!$E:$K,7,FALSE)</f>
        <v>45352</v>
      </c>
      <c r="G18" s="133">
        <f>VLOOKUP(G$16,'Data validation'!$E:$K,7,FALSE)</f>
        <v>45444</v>
      </c>
      <c r="H18" s="133">
        <f>VLOOKUP(H$16,'Data validation'!$E:$K,7,FALSE)</f>
        <v>45536</v>
      </c>
      <c r="I18" s="133">
        <f>VLOOKUP(I$16,'Data validation'!$E:$K,7,FALSE)</f>
        <v>45627</v>
      </c>
      <c r="J18" s="133">
        <f>VLOOKUP(J$16,'Data validation'!$E:$K,7,FALSE)</f>
        <v>45717</v>
      </c>
      <c r="K18" s="133">
        <f>VLOOKUP(K$16,'Data validation'!$E:$K,7,FALSE)</f>
        <v>45809</v>
      </c>
      <c r="L18" s="111"/>
      <c r="M18" s="111"/>
      <c r="N18" s="111"/>
      <c r="O18" s="111"/>
    </row>
    <row r="19" spans="2:16" ht="25.5" customHeight="1" x14ac:dyDescent="0.25">
      <c r="B19" s="283" t="s">
        <v>33</v>
      </c>
      <c r="C19" s="134">
        <f>E18</f>
        <v>45261</v>
      </c>
      <c r="D19" s="135" t="s">
        <v>31</v>
      </c>
      <c r="E19" s="136" t="s">
        <v>30</v>
      </c>
      <c r="F19" s="136" t="s">
        <v>114</v>
      </c>
      <c r="G19" s="136" t="s">
        <v>115</v>
      </c>
      <c r="H19" s="137" t="s">
        <v>24</v>
      </c>
      <c r="I19" s="138"/>
      <c r="J19" s="138"/>
      <c r="K19" s="139"/>
      <c r="L19" s="111"/>
      <c r="M19" s="111"/>
      <c r="N19" s="111"/>
      <c r="O19" s="111"/>
    </row>
    <row r="20" spans="2:16" ht="25.5" customHeight="1" x14ac:dyDescent="0.25">
      <c r="B20" s="284"/>
      <c r="C20" s="140">
        <f>F18</f>
        <v>45352</v>
      </c>
      <c r="D20" s="141"/>
      <c r="E20" s="142" t="s">
        <v>31</v>
      </c>
      <c r="F20" s="142" t="s">
        <v>30</v>
      </c>
      <c r="G20" s="142" t="s">
        <v>114</v>
      </c>
      <c r="H20" s="142" t="s">
        <v>115</v>
      </c>
      <c r="I20" s="143" t="s">
        <v>24</v>
      </c>
      <c r="J20" s="144"/>
      <c r="K20" s="145"/>
      <c r="L20" s="111"/>
      <c r="M20" s="111"/>
      <c r="N20" s="111"/>
      <c r="O20" s="111"/>
    </row>
    <row r="21" spans="2:16" ht="25.5" customHeight="1" x14ac:dyDescent="0.25">
      <c r="B21" s="284"/>
      <c r="C21" s="140">
        <f>G18</f>
        <v>45444</v>
      </c>
      <c r="D21" s="146"/>
      <c r="E21" s="144"/>
      <c r="F21" s="142" t="s">
        <v>31</v>
      </c>
      <c r="G21" s="142" t="s">
        <v>30</v>
      </c>
      <c r="H21" s="142" t="s">
        <v>114</v>
      </c>
      <c r="I21" s="142" t="s">
        <v>115</v>
      </c>
      <c r="J21" s="143" t="s">
        <v>24</v>
      </c>
      <c r="K21" s="145"/>
      <c r="L21" s="111"/>
      <c r="M21" s="111"/>
      <c r="N21" s="111"/>
      <c r="O21" s="111"/>
    </row>
    <row r="22" spans="2:16" ht="25.5" customHeight="1" thickBot="1" x14ac:dyDescent="0.3">
      <c r="B22" s="285"/>
      <c r="C22" s="147">
        <f>H18</f>
        <v>45536</v>
      </c>
      <c r="D22" s="148"/>
      <c r="E22" s="149"/>
      <c r="F22" s="149"/>
      <c r="G22" s="150" t="s">
        <v>31</v>
      </c>
      <c r="H22" s="150" t="s">
        <v>30</v>
      </c>
      <c r="I22" s="150" t="s">
        <v>114</v>
      </c>
      <c r="J22" s="150" t="s">
        <v>115</v>
      </c>
      <c r="K22" s="151" t="s">
        <v>24</v>
      </c>
      <c r="L22" s="111"/>
      <c r="M22" s="111"/>
      <c r="N22" s="111"/>
      <c r="O22" s="111"/>
    </row>
    <row r="23" spans="2:16" ht="12" customHeight="1" x14ac:dyDescent="0.25">
      <c r="B23" s="111"/>
      <c r="C23" s="111"/>
      <c r="D23" s="111"/>
      <c r="E23" s="111"/>
      <c r="F23" s="111"/>
      <c r="G23" s="111"/>
      <c r="H23" s="111"/>
      <c r="I23" s="111"/>
      <c r="J23" s="111"/>
      <c r="K23" s="111"/>
      <c r="L23" s="111"/>
      <c r="M23" s="111"/>
      <c r="N23" s="111"/>
      <c r="O23" s="111"/>
    </row>
    <row r="24" spans="2:16" ht="18" x14ac:dyDescent="0.25">
      <c r="B24" s="211" t="s">
        <v>79</v>
      </c>
      <c r="C24" s="211"/>
      <c r="D24" s="211"/>
      <c r="E24" s="211"/>
      <c r="F24" s="211"/>
      <c r="G24" s="211"/>
      <c r="H24" s="211"/>
      <c r="I24" s="211"/>
      <c r="J24" s="211"/>
      <c r="K24" s="211"/>
      <c r="L24" s="211"/>
      <c r="M24" s="211"/>
      <c r="N24" s="211"/>
      <c r="O24" s="211"/>
      <c r="P24" s="85"/>
    </row>
    <row r="25" spans="2:16" ht="12" customHeight="1" x14ac:dyDescent="0.25">
      <c r="B25" s="111"/>
      <c r="C25" s="112"/>
      <c r="D25" s="112"/>
      <c r="E25" s="112"/>
      <c r="F25" s="112"/>
      <c r="G25" s="112"/>
      <c r="H25" s="112"/>
      <c r="I25" s="112"/>
      <c r="J25" s="112"/>
      <c r="K25" s="112"/>
      <c r="L25" s="112"/>
      <c r="M25" s="112"/>
      <c r="N25" s="112"/>
      <c r="O25" s="112"/>
      <c r="P25" s="27"/>
    </row>
    <row r="26" spans="2:16" x14ac:dyDescent="0.25">
      <c r="B26" s="111"/>
      <c r="C26" s="130" t="s">
        <v>34</v>
      </c>
      <c r="D26" s="152">
        <f>$H$10-11</f>
        <v>114</v>
      </c>
      <c r="E26" s="152">
        <f>$H$10-10</f>
        <v>115</v>
      </c>
      <c r="F26" s="152">
        <f>$H$10-9</f>
        <v>116</v>
      </c>
      <c r="G26" s="152">
        <f>$H$10-8</f>
        <v>117</v>
      </c>
      <c r="H26" s="131">
        <f>$H$10-7</f>
        <v>118</v>
      </c>
      <c r="I26" s="131">
        <f>$H$10-6</f>
        <v>119</v>
      </c>
      <c r="J26" s="131">
        <f>$H$10-5</f>
        <v>120</v>
      </c>
      <c r="K26" s="131">
        <f>$H$10-4</f>
        <v>121</v>
      </c>
      <c r="L26" s="131">
        <f>$H$10-3</f>
        <v>122</v>
      </c>
      <c r="M26" s="131">
        <f>$H$10-2</f>
        <v>123</v>
      </c>
      <c r="N26" s="131">
        <f>$H$10-1</f>
        <v>124</v>
      </c>
      <c r="O26" s="131">
        <f>$H$10</f>
        <v>125</v>
      </c>
      <c r="P26" s="27"/>
    </row>
    <row r="27" spans="2:16" x14ac:dyDescent="0.25">
      <c r="B27" s="111"/>
      <c r="C27" s="130" t="s">
        <v>76</v>
      </c>
      <c r="D27" s="132">
        <f>VLOOKUP(D$26,'Data validation'!$E:$K,4,FALSE)</f>
        <v>44896</v>
      </c>
      <c r="E27" s="132">
        <f>VLOOKUP(E$26,'Data validation'!$E:$K,4,FALSE)</f>
        <v>44986</v>
      </c>
      <c r="F27" s="132">
        <f>VLOOKUP(F$26,'Data validation'!$E:$K,4,FALSE)</f>
        <v>45078</v>
      </c>
      <c r="G27" s="132">
        <f>VLOOKUP(G$26,'Data validation'!$E:$K,4,FALSE)</f>
        <v>45170</v>
      </c>
      <c r="H27" s="132">
        <f>VLOOKUP(H$26,'Data validation'!$E:$K,4,FALSE)</f>
        <v>45261</v>
      </c>
      <c r="I27" s="132">
        <f>VLOOKUP(I$26,'Data validation'!$E:$K,4,FALSE)</f>
        <v>45352</v>
      </c>
      <c r="J27" s="132">
        <f>VLOOKUP(J$26,'Data validation'!$E:$K,4,FALSE)</f>
        <v>45444</v>
      </c>
      <c r="K27" s="132">
        <f>VLOOKUP(K$26,'Data validation'!$E:$K,4,FALSE)</f>
        <v>45536</v>
      </c>
      <c r="L27" s="132">
        <f>VLOOKUP(L$26,'Data validation'!$E:$K,4,FALSE)</f>
        <v>45627</v>
      </c>
      <c r="M27" s="132">
        <f>VLOOKUP(M$26,'Data validation'!$E:$K,4,FALSE)</f>
        <v>45717</v>
      </c>
      <c r="N27" s="132">
        <f>VLOOKUP(N$26,'Data validation'!$E:$K,4,FALSE)</f>
        <v>45809</v>
      </c>
      <c r="O27" s="132">
        <f>VLOOKUP(O$26,'Data validation'!$E:$K,4,FALSE)</f>
        <v>45901</v>
      </c>
      <c r="P27" s="27"/>
    </row>
    <row r="28" spans="2:16" ht="15" customHeight="1" thickBot="1" x14ac:dyDescent="0.3">
      <c r="B28" s="111"/>
      <c r="C28" s="130" t="s">
        <v>77</v>
      </c>
      <c r="D28" s="133">
        <f>VLOOKUP(D$26,'Data validation'!$E:$K,7,FALSE)</f>
        <v>44805</v>
      </c>
      <c r="E28" s="133">
        <f>VLOOKUP(E$26,'Data validation'!$E:$K,7,FALSE)</f>
        <v>44896</v>
      </c>
      <c r="F28" s="133">
        <f>VLOOKUP(F$26,'Data validation'!$E:$K,7,FALSE)</f>
        <v>44986</v>
      </c>
      <c r="G28" s="133">
        <f>VLOOKUP(G$26,'Data validation'!$E:$K,7,FALSE)</f>
        <v>45078</v>
      </c>
      <c r="H28" s="133">
        <f>VLOOKUP(H$26,'Data validation'!$E:$K,7,FALSE)</f>
        <v>45170</v>
      </c>
      <c r="I28" s="133">
        <f>VLOOKUP(I$26,'Data validation'!$E:$K,7,FALSE)</f>
        <v>45261</v>
      </c>
      <c r="J28" s="133">
        <f>VLOOKUP(J$26,'Data validation'!$E:$K,7,FALSE)</f>
        <v>45352</v>
      </c>
      <c r="K28" s="133">
        <f>VLOOKUP(K$26,'Data validation'!$E:$K,7,FALSE)</f>
        <v>45444</v>
      </c>
      <c r="L28" s="133">
        <f>VLOOKUP(L$26,'Data validation'!$E:$K,7,FALSE)</f>
        <v>45536</v>
      </c>
      <c r="M28" s="133">
        <f>VLOOKUP(M$26,'Data validation'!$E:$K,7,FALSE)</f>
        <v>45627</v>
      </c>
      <c r="N28" s="133">
        <f>VLOOKUP(N$26,'Data validation'!$E:$K,7,FALSE)</f>
        <v>45717</v>
      </c>
      <c r="O28" s="133">
        <f>VLOOKUP(O$26,'Data validation'!$E:$K,7,FALSE)</f>
        <v>45809</v>
      </c>
      <c r="P28" s="27"/>
    </row>
    <row r="29" spans="2:16" ht="25.5" customHeight="1" thickBot="1" x14ac:dyDescent="0.3">
      <c r="B29" s="283" t="s">
        <v>33</v>
      </c>
      <c r="C29" s="134">
        <f>E28</f>
        <v>44896</v>
      </c>
      <c r="D29" s="153" t="s">
        <v>31</v>
      </c>
      <c r="E29" s="154" t="s">
        <v>30</v>
      </c>
      <c r="F29" s="154" t="s">
        <v>114</v>
      </c>
      <c r="G29" s="154" t="s">
        <v>115</v>
      </c>
      <c r="H29" s="154" t="s">
        <v>166</v>
      </c>
      <c r="I29" s="136" t="s">
        <v>167</v>
      </c>
      <c r="J29" s="136" t="s">
        <v>168</v>
      </c>
      <c r="K29" s="136" t="s">
        <v>169</v>
      </c>
      <c r="L29" s="137" t="s">
        <v>24</v>
      </c>
      <c r="M29" s="138"/>
      <c r="N29" s="138"/>
      <c r="O29" s="139"/>
      <c r="P29" s="4"/>
    </row>
    <row r="30" spans="2:16" ht="25.5" customHeight="1" thickBot="1" x14ac:dyDescent="0.3">
      <c r="B30" s="284"/>
      <c r="C30" s="140">
        <f>F28</f>
        <v>44986</v>
      </c>
      <c r="D30" s="155"/>
      <c r="E30" s="156" t="s">
        <v>31</v>
      </c>
      <c r="F30" s="156" t="s">
        <v>30</v>
      </c>
      <c r="G30" s="156" t="s">
        <v>114</v>
      </c>
      <c r="H30" s="156" t="s">
        <v>115</v>
      </c>
      <c r="I30" s="156" t="s">
        <v>166</v>
      </c>
      <c r="J30" s="142" t="s">
        <v>167</v>
      </c>
      <c r="K30" s="142" t="s">
        <v>168</v>
      </c>
      <c r="L30" s="142" t="s">
        <v>169</v>
      </c>
      <c r="M30" s="143" t="s">
        <v>24</v>
      </c>
      <c r="N30" s="144"/>
      <c r="O30" s="145"/>
      <c r="P30" s="4"/>
    </row>
    <row r="31" spans="2:16" ht="25.5" customHeight="1" thickBot="1" x14ac:dyDescent="0.3">
      <c r="B31" s="284"/>
      <c r="C31" s="140">
        <f>G28</f>
        <v>45078</v>
      </c>
      <c r="D31" s="157"/>
      <c r="E31" s="158"/>
      <c r="F31" s="156" t="s">
        <v>31</v>
      </c>
      <c r="G31" s="156" t="s">
        <v>30</v>
      </c>
      <c r="H31" s="156" t="s">
        <v>114</v>
      </c>
      <c r="I31" s="156" t="s">
        <v>115</v>
      </c>
      <c r="J31" s="156" t="s">
        <v>166</v>
      </c>
      <c r="K31" s="142" t="s">
        <v>167</v>
      </c>
      <c r="L31" s="142" t="s">
        <v>168</v>
      </c>
      <c r="M31" s="142" t="s">
        <v>169</v>
      </c>
      <c r="N31" s="143" t="s">
        <v>24</v>
      </c>
      <c r="O31" s="145"/>
      <c r="P31" s="4"/>
    </row>
    <row r="32" spans="2:16" ht="25.5" customHeight="1" thickBot="1" x14ac:dyDescent="0.3">
      <c r="B32" s="285"/>
      <c r="C32" s="147">
        <f>H28</f>
        <v>45170</v>
      </c>
      <c r="D32" s="148"/>
      <c r="E32" s="149"/>
      <c r="F32" s="149"/>
      <c r="G32" s="150" t="s">
        <v>31</v>
      </c>
      <c r="H32" s="150" t="s">
        <v>30</v>
      </c>
      <c r="I32" s="150" t="s">
        <v>114</v>
      </c>
      <c r="J32" s="150" t="s">
        <v>115</v>
      </c>
      <c r="K32" s="150" t="s">
        <v>166</v>
      </c>
      <c r="L32" s="150" t="s">
        <v>167</v>
      </c>
      <c r="M32" s="150" t="s">
        <v>168</v>
      </c>
      <c r="N32" s="150" t="s">
        <v>169</v>
      </c>
      <c r="O32" s="151" t="s">
        <v>24</v>
      </c>
      <c r="P32" s="4"/>
    </row>
    <row r="33" spans="2:16" ht="12" customHeight="1" x14ac:dyDescent="0.25">
      <c r="C33" s="2"/>
      <c r="D33" s="4"/>
      <c r="E33" s="3"/>
      <c r="F33" s="3"/>
      <c r="G33" s="3"/>
      <c r="H33" s="3"/>
      <c r="I33" s="3"/>
      <c r="J33" s="3"/>
      <c r="K33" s="3"/>
      <c r="L33" s="3"/>
      <c r="M33" s="3"/>
      <c r="N33" s="5"/>
      <c r="O33" s="6"/>
      <c r="P33" s="7"/>
    </row>
    <row r="34" spans="2:16" ht="18" x14ac:dyDescent="0.25">
      <c r="B34" s="211" t="s">
        <v>119</v>
      </c>
      <c r="C34" s="211"/>
      <c r="D34" s="211"/>
      <c r="E34" s="211"/>
      <c r="F34" s="211"/>
      <c r="G34" s="211"/>
      <c r="H34" s="211"/>
      <c r="I34" s="211"/>
      <c r="J34" s="211"/>
      <c r="K34" s="211"/>
      <c r="L34" s="211"/>
      <c r="M34" s="211"/>
      <c r="N34" s="211"/>
      <c r="O34" s="211"/>
    </row>
    <row r="35" spans="2:16" ht="12" customHeight="1" x14ac:dyDescent="0.25">
      <c r="C35" s="2"/>
      <c r="D35" s="4"/>
      <c r="E35" s="3"/>
      <c r="F35" s="3"/>
      <c r="G35" s="3"/>
      <c r="H35" s="3"/>
      <c r="I35" s="3"/>
      <c r="J35" s="3"/>
      <c r="K35" s="3"/>
      <c r="L35" s="3"/>
      <c r="M35" s="3"/>
      <c r="N35" s="5"/>
      <c r="O35" s="6"/>
      <c r="P35" s="7"/>
    </row>
    <row r="36" spans="2:16" ht="15" customHeight="1" x14ac:dyDescent="0.25">
      <c r="B36" s="280" t="s">
        <v>113</v>
      </c>
      <c r="C36" s="281"/>
      <c r="D36" s="281"/>
      <c r="E36" s="281"/>
      <c r="F36" s="281"/>
      <c r="G36" s="281"/>
      <c r="H36" s="281"/>
      <c r="I36" s="281"/>
      <c r="J36" s="281"/>
      <c r="K36" s="281"/>
      <c r="L36" s="281"/>
      <c r="M36" s="281"/>
      <c r="N36" s="281"/>
      <c r="O36" s="282"/>
    </row>
    <row r="37" spans="2:16" ht="12.75" customHeight="1" x14ac:dyDescent="0.25">
      <c r="B37" s="274"/>
      <c r="C37" s="275"/>
      <c r="D37" s="275"/>
      <c r="E37" s="275"/>
      <c r="F37" s="275"/>
      <c r="G37" s="275"/>
      <c r="H37" s="275"/>
      <c r="I37" s="275"/>
      <c r="J37" s="275"/>
      <c r="K37" s="275"/>
      <c r="L37" s="275"/>
      <c r="M37" s="275"/>
      <c r="N37" s="275"/>
      <c r="O37" s="276"/>
    </row>
    <row r="38" spans="2:16" ht="18" customHeight="1" x14ac:dyDescent="0.25">
      <c r="B38" s="124"/>
      <c r="C38" s="125"/>
      <c r="D38" s="125"/>
      <c r="E38" s="125"/>
      <c r="F38" s="125"/>
      <c r="G38" s="125"/>
      <c r="H38" s="125"/>
      <c r="I38" s="125"/>
      <c r="J38" s="125"/>
      <c r="K38" s="125"/>
      <c r="L38" s="125"/>
      <c r="M38" s="125"/>
      <c r="N38" s="125"/>
      <c r="O38" s="126"/>
    </row>
    <row r="39" spans="2:16" ht="15" customHeight="1" x14ac:dyDescent="0.25">
      <c r="B39" s="274" t="str">
        <f>"For example, for commencements and completions above we have the set of review quarters from "&amp;TEXT(C19,"mmm")&amp;"-"&amp;TEXT(C19,"yyy")&amp;" to "&amp;TEXT(C22,"mmm")&amp;"-"&amp;TEXT(C22,"yyy")&amp;" and which collections we use to calculate the initial, first revision and second revision estimates, and the quarter in which the final count emerge. For example, the first time we receive data relating to the "&amp;TEXT(C19,"mmm")&amp;"-"&amp;TEXT(C19,"yyy")&amp;" quarter is in Collection "&amp;D16&amp;", but we do not report on this data. The first time we report on this data is in the next quarter, "&amp;TEXT(C20,"mmm")&amp;"-"&amp;TEXT(C20,"yyy")&amp;", after having received the data for Collection "&amp;E16&amp;". An initial estimate is published for this quarter. The initial estimate then gets revised over the next two collections (Collections "&amp;F16&amp;" and "&amp;G16&amp;"), before the final count emerges and gets reported in Collection "&amp;H16&amp;". Therefore, we can  review the initial and first revision estimates from quarters "&amp;TEXT(C19,"mmm")&amp;"-"&amp;TEXT(C19,"yyy")&amp;" to "&amp;TEXT(C22,"mmm")&amp;"-"&amp;TEXT(C22,"yyy")&amp;" since the final counts for these quarters have been published, with Collection "&amp;K16&amp;" being the final count for quarter "&amp;TEXT(C22,"mmm")&amp;"-"&amp;TEXT(C22,"yyy")&amp;"."</f>
        <v>For example, for commencements and completions above we have the set of review quarters from Dec-2023 to Sep-2024 and which collections we use to calculate the initial, first revision and second revision estimates, and the quarter in which the final count emerge. For example, the first time we receive data relating to the Dec-2023 quarter is in Collection 118, but we do not report on this data. The first time we report on this data is in the next quarter, Mar-2024, after having received the data for Collection 119. An initial estimate is published for this quarter. The initial estimate then gets revised over the next two collections (Collections 120 and 121), before the final count emerges and gets reported in Collection 122. Therefore, we can  review the initial and first revision estimates from quarters Dec-2023 to Sep-2024 since the final counts for these quarters have been published, with Collection 125 being the final count for quarter Sep-2024.</v>
      </c>
      <c r="C39" s="275"/>
      <c r="D39" s="275"/>
      <c r="E39" s="275"/>
      <c r="F39" s="275"/>
      <c r="G39" s="275"/>
      <c r="H39" s="275"/>
      <c r="I39" s="275"/>
      <c r="J39" s="275"/>
      <c r="K39" s="275"/>
      <c r="L39" s="275"/>
      <c r="M39" s="275"/>
      <c r="N39" s="275"/>
      <c r="O39" s="276"/>
    </row>
    <row r="40" spans="2:16" ht="14.25" customHeight="1" x14ac:dyDescent="0.25">
      <c r="B40" s="274"/>
      <c r="C40" s="275"/>
      <c r="D40" s="275"/>
      <c r="E40" s="275"/>
      <c r="F40" s="275"/>
      <c r="G40" s="275"/>
      <c r="H40" s="275"/>
      <c r="I40" s="275"/>
      <c r="J40" s="275"/>
      <c r="K40" s="275"/>
      <c r="L40" s="275"/>
      <c r="M40" s="275"/>
      <c r="N40" s="275"/>
      <c r="O40" s="276"/>
    </row>
    <row r="41" spans="2:16" ht="14.25" customHeight="1" x14ac:dyDescent="0.25">
      <c r="B41" s="274"/>
      <c r="C41" s="275"/>
      <c r="D41" s="275"/>
      <c r="E41" s="275"/>
      <c r="F41" s="275"/>
      <c r="G41" s="275"/>
      <c r="H41" s="275"/>
      <c r="I41" s="275"/>
      <c r="J41" s="275"/>
      <c r="K41" s="275"/>
      <c r="L41" s="275"/>
      <c r="M41" s="275"/>
      <c r="N41" s="275"/>
      <c r="O41" s="276"/>
    </row>
    <row r="42" spans="2:16" ht="15" customHeight="1" x14ac:dyDescent="0.25">
      <c r="B42" s="274"/>
      <c r="C42" s="275"/>
      <c r="D42" s="275"/>
      <c r="E42" s="275"/>
      <c r="F42" s="275"/>
      <c r="G42" s="275"/>
      <c r="H42" s="275"/>
      <c r="I42" s="275"/>
      <c r="J42" s="275"/>
      <c r="K42" s="275"/>
      <c r="L42" s="275"/>
      <c r="M42" s="275"/>
      <c r="N42" s="275"/>
      <c r="O42" s="276"/>
    </row>
    <row r="43" spans="2:16" ht="22.5" customHeight="1" x14ac:dyDescent="0.25">
      <c r="B43" s="274"/>
      <c r="C43" s="275"/>
      <c r="D43" s="275"/>
      <c r="E43" s="275"/>
      <c r="F43" s="275"/>
      <c r="G43" s="275"/>
      <c r="H43" s="275"/>
      <c r="I43" s="275"/>
      <c r="J43" s="275"/>
      <c r="K43" s="275"/>
      <c r="L43" s="275"/>
      <c r="M43" s="275"/>
      <c r="N43" s="275"/>
      <c r="O43" s="276"/>
    </row>
    <row r="44" spans="2:16" ht="18" customHeight="1" x14ac:dyDescent="0.25">
      <c r="B44" s="127"/>
      <c r="C44" s="128"/>
      <c r="D44" s="128"/>
      <c r="E44" s="128"/>
      <c r="F44" s="128"/>
      <c r="G44" s="128"/>
      <c r="H44" s="128"/>
      <c r="I44" s="128"/>
      <c r="J44" s="128"/>
      <c r="K44" s="128"/>
      <c r="L44" s="128"/>
      <c r="M44" s="128"/>
      <c r="N44" s="128"/>
      <c r="O44" s="129"/>
    </row>
    <row r="45" spans="2:16" x14ac:dyDescent="0.25">
      <c r="B45" s="277" t="str">
        <f>"Likewise, for cancellations/withdrawals and in-training, we can review the initial and first revision estimates from quarters "&amp;TEXT(C29,"mmm")&amp;"-"&amp;TEXT(C29,"yyy")&amp;" to "&amp;TEXT(C32,"mmm")&amp;"-"&amp;TEXT(C32,"yyy")&amp;"."</f>
        <v>Likewise, for cancellations/withdrawals and in-training, we can review the initial and first revision estimates from quarters Dec-2022 to Sep-2023.</v>
      </c>
      <c r="C45" s="278"/>
      <c r="D45" s="278"/>
      <c r="E45" s="278"/>
      <c r="F45" s="278"/>
      <c r="G45" s="278"/>
      <c r="H45" s="278"/>
      <c r="I45" s="278"/>
      <c r="J45" s="278"/>
      <c r="K45" s="278"/>
      <c r="L45" s="278"/>
      <c r="M45" s="278"/>
      <c r="N45" s="278"/>
      <c r="O45" s="279"/>
    </row>
  </sheetData>
  <sheetProtection algorithmName="SHA-512" hashValue="FH5+ZL+8uopqHFKwEB1gah2atBKsMW51l7SLxhDfROauRB9T+GvPAlEDKwMHasCOv05HiV27F+sTfWRGVAvW/A==" saltValue="wX72ukitzYjVinQRmFl1hw==" spinCount="100000" sheet="1" objects="1" scenarios="1" selectLockedCells="1"/>
  <mergeCells count="15">
    <mergeCell ref="P16:Q16"/>
    <mergeCell ref="B2:O4"/>
    <mergeCell ref="B14:O14"/>
    <mergeCell ref="B24:O24"/>
    <mergeCell ref="B34:O34"/>
    <mergeCell ref="P15:Q15"/>
    <mergeCell ref="E10:G10"/>
    <mergeCell ref="E11:G11"/>
    <mergeCell ref="E5:H5"/>
    <mergeCell ref="E7:H8"/>
    <mergeCell ref="B39:O43"/>
    <mergeCell ref="B45:O45"/>
    <mergeCell ref="B36:O37"/>
    <mergeCell ref="B19:B22"/>
    <mergeCell ref="B29:B32"/>
  </mergeCells>
  <phoneticPr fontId="64" type="noConversion"/>
  <hyperlinks>
    <hyperlink ref="P15:Q15" location="DASHBOARD!A1" display="Dashboard" xr:uid="{00000000-0004-0000-0600-000000000000}"/>
    <hyperlink ref="P16:Q16" location="Introduction!A1" display="Back to index" xr:uid="{00000000-0004-0000-0600-000001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G73"/>
  <sheetViews>
    <sheetView topLeftCell="D1" zoomScale="80" zoomScaleNormal="80" workbookViewId="0">
      <selection activeCell="M7" sqref="M7"/>
    </sheetView>
  </sheetViews>
  <sheetFormatPr defaultRowHeight="15" outlineLevelCol="1" x14ac:dyDescent="0.25"/>
  <cols>
    <col min="1" max="1" width="28.140625" hidden="1" customWidth="1" outlineLevel="1"/>
    <col min="2" max="2" width="13.7109375" hidden="1" customWidth="1" outlineLevel="1"/>
    <col min="3" max="3" width="12.42578125" hidden="1" customWidth="1" outlineLevel="1"/>
    <col min="4" max="4" width="9" bestFit="1" customWidth="1" collapsed="1"/>
    <col min="5" max="5" width="10" customWidth="1" outlineLevel="1"/>
    <col min="6" max="6" width="9" customWidth="1" outlineLevel="1"/>
    <col min="7" max="7" width="10" customWidth="1" outlineLevel="1"/>
    <col min="8" max="8" width="13.42578125" customWidth="1" outlineLevel="1"/>
    <col min="9" max="9" width="12.7109375" customWidth="1" outlineLevel="1"/>
    <col min="10" max="10" width="10" customWidth="1" outlineLevel="1"/>
    <col min="11" max="11" width="13.42578125" customWidth="1" outlineLevel="1"/>
    <col min="12" max="12" width="9.85546875" customWidth="1" outlineLevel="1"/>
    <col min="13" max="13" width="9.85546875" customWidth="1"/>
    <col min="14" max="15" width="18.7109375" customWidth="1"/>
    <col min="16" max="19" width="9.85546875" customWidth="1"/>
    <col min="20" max="20" width="9.7109375" customWidth="1"/>
    <col min="21" max="21" width="9.28515625" customWidth="1"/>
  </cols>
  <sheetData>
    <row r="1" spans="1:33" ht="89.25" customHeight="1" x14ac:dyDescent="0.25">
      <c r="A1" s="20" t="s">
        <v>22</v>
      </c>
      <c r="B1" s="20" t="s">
        <v>21</v>
      </c>
      <c r="C1" s="20" t="s">
        <v>23</v>
      </c>
      <c r="E1" s="301" t="s">
        <v>40</v>
      </c>
      <c r="F1" s="300" t="s">
        <v>38</v>
      </c>
      <c r="G1" s="300"/>
      <c r="H1" s="300"/>
      <c r="I1" s="302" t="s">
        <v>37</v>
      </c>
      <c r="J1" s="303"/>
      <c r="K1" s="304"/>
      <c r="L1" s="30"/>
      <c r="V1" s="305" t="s">
        <v>67</v>
      </c>
      <c r="W1" s="306"/>
      <c r="X1" s="306"/>
      <c r="Y1" s="306"/>
      <c r="Z1" s="306"/>
      <c r="AA1" s="306"/>
      <c r="AB1" s="306"/>
      <c r="AC1" s="306"/>
      <c r="AD1" s="306"/>
      <c r="AE1" s="306"/>
      <c r="AF1" s="306"/>
      <c r="AG1" s="307"/>
    </row>
    <row r="2" spans="1:33" x14ac:dyDescent="0.25">
      <c r="A2" s="21" t="s">
        <v>1</v>
      </c>
      <c r="B2" s="24" t="s">
        <v>14</v>
      </c>
      <c r="C2" s="21" t="s">
        <v>30</v>
      </c>
      <c r="E2" s="300"/>
      <c r="F2" s="19" t="s">
        <v>36</v>
      </c>
      <c r="G2" s="19" t="s">
        <v>32</v>
      </c>
      <c r="H2" s="19" t="s">
        <v>39</v>
      </c>
      <c r="I2" s="19" t="s">
        <v>36</v>
      </c>
      <c r="J2" s="19" t="s">
        <v>32</v>
      </c>
      <c r="K2" s="19" t="s">
        <v>39</v>
      </c>
      <c r="L2" s="75"/>
      <c r="M2" t="e">
        <f>#REF!</f>
        <v>#REF!</v>
      </c>
      <c r="N2" t="e">
        <f>IF(M2="Y","Y",IF(M2="N","N","None1"))</f>
        <v>#REF!</v>
      </c>
      <c r="Q2" s="33">
        <f>IFERROR((('Pivot tables'!X10-'Pivot tables'!W10)/'Pivot tables'!X10),0)</f>
        <v>1.2718868188821965E-2</v>
      </c>
      <c r="R2" s="33" t="str">
        <f>IF(Q2=0,"None",IF(Q2&gt;0,"Down","Up"))</f>
        <v>Down</v>
      </c>
      <c r="V2" s="45" t="s">
        <v>60</v>
      </c>
      <c r="W2" s="46" t="s">
        <v>61</v>
      </c>
      <c r="X2" s="47" t="s">
        <v>62</v>
      </c>
      <c r="Y2" s="45" t="s">
        <v>60</v>
      </c>
      <c r="Z2" s="46" t="s">
        <v>61</v>
      </c>
      <c r="AA2" s="47" t="s">
        <v>62</v>
      </c>
      <c r="AB2" s="45" t="s">
        <v>60</v>
      </c>
      <c r="AC2" s="46" t="s">
        <v>61</v>
      </c>
      <c r="AD2" s="47" t="s">
        <v>62</v>
      </c>
      <c r="AE2" s="45" t="s">
        <v>60</v>
      </c>
      <c r="AF2" s="46" t="s">
        <v>61</v>
      </c>
      <c r="AG2" s="47" t="s">
        <v>62</v>
      </c>
    </row>
    <row r="3" spans="1:33" x14ac:dyDescent="0.25">
      <c r="A3" s="22" t="s">
        <v>2</v>
      </c>
      <c r="B3" s="25" t="s">
        <v>13</v>
      </c>
      <c r="C3" s="22" t="s">
        <v>0</v>
      </c>
      <c r="E3" s="16">
        <v>80</v>
      </c>
      <c r="F3" s="10">
        <v>2014.2</v>
      </c>
      <c r="G3" s="10">
        <v>2014.4</v>
      </c>
      <c r="H3" s="11">
        <v>41791</v>
      </c>
      <c r="I3" s="10">
        <v>2014.1</v>
      </c>
      <c r="J3" s="10">
        <v>2014.3</v>
      </c>
      <c r="K3" s="11">
        <v>41699</v>
      </c>
      <c r="L3" s="76"/>
      <c r="M3" t="e">
        <f>#REF!</f>
        <v>#REF!</v>
      </c>
      <c r="N3" t="e">
        <f t="shared" ref="N3:N5" si="0">IF(M3="Y","Y",IF(M3="N","N","None1"))</f>
        <v>#REF!</v>
      </c>
      <c r="Q3" s="33">
        <f>IFERROR((('Pivot tables'!X11-'Pivot tables'!W11)/'Pivot tables'!X11),0)</f>
        <v>1.3601507238712236E-2</v>
      </c>
      <c r="R3" s="33" t="str">
        <f t="shared" ref="R3:R5" si="1">IF(Q3=0,"None",IF(Q3&gt;0,"Down","Up"))</f>
        <v>Down</v>
      </c>
      <c r="V3" s="45">
        <v>0</v>
      </c>
      <c r="W3" s="46">
        <v>55</v>
      </c>
      <c r="X3" s="47">
        <v>103</v>
      </c>
      <c r="Y3" s="45">
        <v>67</v>
      </c>
      <c r="Z3" s="46">
        <v>149</v>
      </c>
      <c r="AA3" s="47">
        <v>57</v>
      </c>
      <c r="AB3" s="45">
        <v>120</v>
      </c>
      <c r="AC3" s="46">
        <v>39</v>
      </c>
      <c r="AD3" s="47">
        <v>139</v>
      </c>
      <c r="AE3" s="45">
        <v>0</v>
      </c>
      <c r="AF3" s="46">
        <v>129</v>
      </c>
      <c r="AG3" s="47">
        <v>198</v>
      </c>
    </row>
    <row r="4" spans="1:33" x14ac:dyDescent="0.25">
      <c r="A4" s="22" t="s">
        <v>3</v>
      </c>
      <c r="B4" s="22" t="s">
        <v>12</v>
      </c>
      <c r="C4" s="22"/>
      <c r="E4" s="17">
        <v>81</v>
      </c>
      <c r="F4" s="12">
        <v>2014.3</v>
      </c>
      <c r="G4" s="10">
        <v>2015.1</v>
      </c>
      <c r="H4" s="13">
        <v>41883</v>
      </c>
      <c r="I4" s="12">
        <v>2014.2</v>
      </c>
      <c r="J4" s="10">
        <v>2014.4</v>
      </c>
      <c r="K4" s="13">
        <v>41791</v>
      </c>
      <c r="L4" s="76"/>
      <c r="M4" t="e">
        <f>#REF!</f>
        <v>#REF!</v>
      </c>
      <c r="N4" t="e">
        <f t="shared" si="0"/>
        <v>#REF!</v>
      </c>
      <c r="Q4" s="33">
        <f>IFERROR((('Pivot tables'!X12-'Pivot tables'!W12)/'Pivot tables'!X12),0)</f>
        <v>1.1966207614859392E-2</v>
      </c>
      <c r="R4" s="33" t="str">
        <f t="shared" si="1"/>
        <v>Down</v>
      </c>
      <c r="U4" s="57">
        <v>1</v>
      </c>
      <c r="V4" s="41"/>
      <c r="W4" s="41"/>
      <c r="X4" s="41"/>
      <c r="Y4" s="42"/>
      <c r="Z4" s="42"/>
      <c r="AA4" s="42"/>
      <c r="AB4" s="43"/>
      <c r="AC4" s="43"/>
      <c r="AD4" s="43"/>
      <c r="AE4" s="44"/>
      <c r="AF4" s="44"/>
      <c r="AG4" s="44"/>
    </row>
    <row r="5" spans="1:33" x14ac:dyDescent="0.25">
      <c r="A5" s="22" t="s">
        <v>4</v>
      </c>
      <c r="B5" s="22" t="s">
        <v>15</v>
      </c>
      <c r="C5" s="22"/>
      <c r="E5" s="17">
        <v>82</v>
      </c>
      <c r="F5" s="12">
        <f>IF(VALUE(RIGHT(F4,1))=4,F4+0.7,F4+0.1)</f>
        <v>2014.3999999999999</v>
      </c>
      <c r="G5" s="10">
        <f>IF(VALUE(RIGHT(G4,1))=4,G4+0.7,G4+0.1)</f>
        <v>2015.1999999999998</v>
      </c>
      <c r="H5" s="13">
        <f>DATE(LEFT(F5,4),RIGHT(F5,1)*3,1)</f>
        <v>41974</v>
      </c>
      <c r="I5" s="12">
        <f>IF(VALUE(RIGHT(I4,1))=4,I4+0.7,I4+0.1)</f>
        <v>2014.3</v>
      </c>
      <c r="J5" s="10">
        <f>IF(VALUE(RIGHT(J4,1))=4,J4+0.7,J4+0.1)</f>
        <v>2015.1000000000001</v>
      </c>
      <c r="K5" s="13">
        <f>DATE(LEFT(I5,4),RIGHT(I5,1)*3,1)</f>
        <v>41883</v>
      </c>
      <c r="L5" s="76"/>
      <c r="M5" t="e">
        <f>#REF!</f>
        <v>#REF!</v>
      </c>
      <c r="N5" t="e">
        <f t="shared" si="0"/>
        <v>#REF!</v>
      </c>
      <c r="Q5" s="33">
        <f>IFERROR((('Pivot tables'!X13-'Pivot tables'!W13)/'Pivot tables'!X13),0)</f>
        <v>1.2195121951219513E-2</v>
      </c>
      <c r="R5" s="33" t="str">
        <f t="shared" si="1"/>
        <v>Down</v>
      </c>
      <c r="V5" s="45">
        <f>ROUND(V$3+(255-V$3)*0.75,0)</f>
        <v>191</v>
      </c>
      <c r="W5" s="46">
        <f t="shared" ref="W5:AG5" si="2">ROUND(W$3+(255-W$3)*0.75,0)</f>
        <v>205</v>
      </c>
      <c r="X5" s="47">
        <f t="shared" si="2"/>
        <v>217</v>
      </c>
      <c r="Y5" s="45">
        <f>ROUND(Y$3+(255-Y$3)*0.75,0)</f>
        <v>208</v>
      </c>
      <c r="Z5" s="46">
        <f t="shared" si="2"/>
        <v>229</v>
      </c>
      <c r="AA5" s="47">
        <f t="shared" si="2"/>
        <v>206</v>
      </c>
      <c r="AB5" s="45">
        <f>ROUND(AB$3+(255-AB$3)*0.75,0)</f>
        <v>221</v>
      </c>
      <c r="AC5" s="46">
        <f t="shared" si="2"/>
        <v>201</v>
      </c>
      <c r="AD5" s="47">
        <f t="shared" si="2"/>
        <v>226</v>
      </c>
      <c r="AE5" s="45">
        <f>ROUND(AE$3+(255-AE$3)*0.75,0)</f>
        <v>191</v>
      </c>
      <c r="AF5" s="46">
        <f t="shared" si="2"/>
        <v>224</v>
      </c>
      <c r="AG5" s="47">
        <f t="shared" si="2"/>
        <v>241</v>
      </c>
    </row>
    <row r="6" spans="1:33" x14ac:dyDescent="0.25">
      <c r="A6" s="22" t="s">
        <v>5</v>
      </c>
      <c r="B6" s="22"/>
      <c r="C6" s="22"/>
      <c r="E6" s="17">
        <v>83</v>
      </c>
      <c r="F6" s="12">
        <f t="shared" ref="F6:F71" si="3">IF(VALUE(RIGHT(F5,1))=4,F5+0.7,F5+0.1)</f>
        <v>2015.1</v>
      </c>
      <c r="G6" s="10">
        <f t="shared" ref="G6:G71" si="4">IF(VALUE(RIGHT(G5,1))=4,G5+0.7,G5+0.1)</f>
        <v>2015.2999999999997</v>
      </c>
      <c r="H6" s="13">
        <f t="shared" ref="H6:H33" si="5">DATE(LEFT(F6,4),RIGHT(F6,1)*3,1)</f>
        <v>42064</v>
      </c>
      <c r="I6" s="12">
        <f t="shared" ref="I6:I71" si="6">IF(VALUE(RIGHT(I5,1))=4,I5+0.7,I5+0.1)</f>
        <v>2014.3999999999999</v>
      </c>
      <c r="J6" s="10">
        <f t="shared" ref="J6:J71" si="7">IF(VALUE(RIGHT(J5,1))=4,J5+0.7,J5+0.1)</f>
        <v>2015.2</v>
      </c>
      <c r="K6" s="13">
        <f t="shared" ref="K6:K33" si="8">DATE(LEFT(I6,4),RIGHT(I6,1)*3,1)</f>
        <v>41974</v>
      </c>
      <c r="L6" s="76"/>
      <c r="U6" s="57">
        <v>0.25</v>
      </c>
      <c r="V6" s="48"/>
      <c r="W6" s="48"/>
      <c r="X6" s="48"/>
      <c r="Y6" s="51"/>
      <c r="Z6" s="51"/>
      <c r="AA6" s="51"/>
      <c r="AB6" s="54"/>
      <c r="AC6" s="54"/>
      <c r="AD6" s="54"/>
      <c r="AE6" s="58"/>
      <c r="AF6" s="58"/>
      <c r="AG6" s="58"/>
    </row>
    <row r="7" spans="1:33" x14ac:dyDescent="0.25">
      <c r="A7" s="22" t="s">
        <v>6</v>
      </c>
      <c r="B7" s="22"/>
      <c r="C7" s="22"/>
      <c r="E7" s="17">
        <v>84</v>
      </c>
      <c r="F7" s="12">
        <f t="shared" si="3"/>
        <v>2015.1999999999998</v>
      </c>
      <c r="G7" s="10">
        <f t="shared" si="4"/>
        <v>2015.3999999999996</v>
      </c>
      <c r="H7" s="13">
        <f t="shared" si="5"/>
        <v>42156</v>
      </c>
      <c r="I7" s="12">
        <f t="shared" si="6"/>
        <v>2015.1</v>
      </c>
      <c r="J7" s="10">
        <f t="shared" si="7"/>
        <v>2015.3</v>
      </c>
      <c r="K7" s="13">
        <f t="shared" si="8"/>
        <v>42064</v>
      </c>
      <c r="L7" s="76"/>
      <c r="V7" s="45">
        <f>ROUND(V$3+(255-V$3)*0.5,0)</f>
        <v>128</v>
      </c>
      <c r="W7" s="46">
        <f t="shared" ref="W7:AG7" si="9">ROUND(W$3+(255-W$3)*0.5,0)</f>
        <v>155</v>
      </c>
      <c r="X7" s="47">
        <f t="shared" si="9"/>
        <v>179</v>
      </c>
      <c r="Y7" s="45">
        <f>ROUND(Y$3+(255-Y$3)*0.5,0)</f>
        <v>161</v>
      </c>
      <c r="Z7" s="46">
        <f t="shared" si="9"/>
        <v>202</v>
      </c>
      <c r="AA7" s="47">
        <f t="shared" si="9"/>
        <v>156</v>
      </c>
      <c r="AB7" s="45">
        <f>ROUND(AB$3+(255-AB$3)*0.5,0)</f>
        <v>188</v>
      </c>
      <c r="AC7" s="46">
        <f t="shared" si="9"/>
        <v>147</v>
      </c>
      <c r="AD7" s="47">
        <f t="shared" si="9"/>
        <v>197</v>
      </c>
      <c r="AE7" s="45">
        <f>ROUND(AE$3+(255-AE$3)*0.5,0)</f>
        <v>128</v>
      </c>
      <c r="AF7" s="46">
        <f t="shared" si="9"/>
        <v>192</v>
      </c>
      <c r="AG7" s="47">
        <f t="shared" si="9"/>
        <v>227</v>
      </c>
    </row>
    <row r="8" spans="1:33" x14ac:dyDescent="0.25">
      <c r="A8" s="22" t="s">
        <v>7</v>
      </c>
      <c r="B8" s="22"/>
      <c r="C8" s="22"/>
      <c r="E8" s="17">
        <v>85</v>
      </c>
      <c r="F8" s="12">
        <f t="shared" si="3"/>
        <v>2015.2999999999997</v>
      </c>
      <c r="G8" s="10">
        <f t="shared" si="4"/>
        <v>2016.0999999999997</v>
      </c>
      <c r="H8" s="13">
        <f t="shared" si="5"/>
        <v>42248</v>
      </c>
      <c r="I8" s="12">
        <f t="shared" si="6"/>
        <v>2015.1999999999998</v>
      </c>
      <c r="J8" s="10">
        <f t="shared" si="7"/>
        <v>2015.3999999999999</v>
      </c>
      <c r="K8" s="13">
        <f t="shared" si="8"/>
        <v>42156</v>
      </c>
      <c r="L8" s="76"/>
      <c r="Q8" t="s">
        <v>81</v>
      </c>
      <c r="U8" s="57">
        <v>0.5</v>
      </c>
      <c r="V8" s="49"/>
      <c r="W8" s="49"/>
      <c r="X8" s="49"/>
      <c r="Y8" s="52"/>
      <c r="Z8" s="52"/>
      <c r="AA8" s="52"/>
      <c r="AB8" s="55"/>
      <c r="AC8" s="55"/>
      <c r="AD8" s="55"/>
      <c r="AE8" s="59"/>
      <c r="AF8" s="59"/>
      <c r="AG8" s="59"/>
    </row>
    <row r="9" spans="1:33" x14ac:dyDescent="0.25">
      <c r="A9" s="22" t="s">
        <v>8</v>
      </c>
      <c r="B9" s="22"/>
      <c r="C9" s="22"/>
      <c r="E9" s="17">
        <v>86</v>
      </c>
      <c r="F9" s="12">
        <f t="shared" si="3"/>
        <v>2015.3999999999996</v>
      </c>
      <c r="G9" s="10">
        <f t="shared" si="4"/>
        <v>2016.1999999999996</v>
      </c>
      <c r="H9" s="13">
        <f t="shared" si="5"/>
        <v>42339</v>
      </c>
      <c r="I9" s="12">
        <f t="shared" si="6"/>
        <v>2015.2999999999997</v>
      </c>
      <c r="J9" s="10">
        <f t="shared" si="7"/>
        <v>2016.1</v>
      </c>
      <c r="K9" s="13">
        <f t="shared" si="8"/>
        <v>42248</v>
      </c>
      <c r="L9" s="76"/>
      <c r="Q9" t="s">
        <v>81</v>
      </c>
      <c r="V9" s="45">
        <f>ROUND(V$3+(255-V$3)*0.25,0)</f>
        <v>64</v>
      </c>
      <c r="W9" s="46">
        <f t="shared" ref="W9:AG9" si="10">ROUND(W$3+(255-W$3)*0.25,0)</f>
        <v>105</v>
      </c>
      <c r="X9" s="47">
        <f t="shared" si="10"/>
        <v>141</v>
      </c>
      <c r="Y9" s="45">
        <f>ROUND(Y$3+(255-Y$3)*0.25,0)</f>
        <v>114</v>
      </c>
      <c r="Z9" s="46">
        <f t="shared" si="10"/>
        <v>176</v>
      </c>
      <c r="AA9" s="47">
        <f t="shared" si="10"/>
        <v>107</v>
      </c>
      <c r="AB9" s="45">
        <f>ROUND(AB$3+(255-AB$3)*0.25,0)</f>
        <v>154</v>
      </c>
      <c r="AC9" s="46">
        <f t="shared" si="10"/>
        <v>93</v>
      </c>
      <c r="AD9" s="47">
        <f t="shared" si="10"/>
        <v>168</v>
      </c>
      <c r="AE9" s="45">
        <f>ROUND(AE$3+(255-AE$3)*0.25,0)</f>
        <v>64</v>
      </c>
      <c r="AF9" s="46">
        <f t="shared" si="10"/>
        <v>161</v>
      </c>
      <c r="AG9" s="47">
        <f t="shared" si="10"/>
        <v>212</v>
      </c>
    </row>
    <row r="10" spans="1:33" x14ac:dyDescent="0.25">
      <c r="A10" s="23" t="s">
        <v>9</v>
      </c>
      <c r="B10" s="23"/>
      <c r="C10" s="23"/>
      <c r="E10" s="17">
        <v>87</v>
      </c>
      <c r="F10" s="12">
        <f t="shared" si="3"/>
        <v>2016.0999999999997</v>
      </c>
      <c r="G10" s="10">
        <f t="shared" si="4"/>
        <v>2016.2999999999995</v>
      </c>
      <c r="H10" s="13">
        <f t="shared" si="5"/>
        <v>42430</v>
      </c>
      <c r="I10" s="12">
        <f t="shared" si="6"/>
        <v>2015.3999999999996</v>
      </c>
      <c r="J10" s="10">
        <f t="shared" si="7"/>
        <v>2016.1999999999998</v>
      </c>
      <c r="K10" s="13">
        <f t="shared" si="8"/>
        <v>42339</v>
      </c>
      <c r="L10" s="76"/>
      <c r="Q10" t="s">
        <v>81</v>
      </c>
      <c r="U10" s="57">
        <v>0.75</v>
      </c>
      <c r="V10" s="50"/>
      <c r="W10" s="50"/>
      <c r="X10" s="50"/>
      <c r="Y10" s="53"/>
      <c r="Z10" s="53"/>
      <c r="AA10" s="53"/>
      <c r="AB10" s="56"/>
      <c r="AC10" s="56"/>
      <c r="AD10" s="56"/>
      <c r="AE10" s="60"/>
      <c r="AF10" s="60"/>
      <c r="AG10" s="60"/>
    </row>
    <row r="11" spans="1:33" x14ac:dyDescent="0.25">
      <c r="E11" s="17">
        <v>88</v>
      </c>
      <c r="F11" s="12">
        <f t="shared" si="3"/>
        <v>2016.1999999999996</v>
      </c>
      <c r="G11" s="10">
        <f t="shared" si="4"/>
        <v>2016.3999999999994</v>
      </c>
      <c r="H11" s="13">
        <f t="shared" si="5"/>
        <v>42522</v>
      </c>
      <c r="I11" s="12">
        <f t="shared" si="6"/>
        <v>2016.0999999999997</v>
      </c>
      <c r="J11" s="10">
        <f t="shared" si="7"/>
        <v>2016.2999999999997</v>
      </c>
      <c r="K11" s="13">
        <f t="shared" si="8"/>
        <v>42430</v>
      </c>
      <c r="L11" s="76"/>
      <c r="M11" s="69" t="s">
        <v>44</v>
      </c>
      <c r="N11" s="69" t="s">
        <v>52</v>
      </c>
      <c r="Q11" t="s">
        <v>81</v>
      </c>
    </row>
    <row r="12" spans="1:33" x14ac:dyDescent="0.25">
      <c r="A12" s="29"/>
      <c r="E12" s="17">
        <v>89</v>
      </c>
      <c r="F12" s="12">
        <f t="shared" si="3"/>
        <v>2016.2999999999995</v>
      </c>
      <c r="G12" s="10">
        <f t="shared" si="4"/>
        <v>2017.0999999999995</v>
      </c>
      <c r="H12" s="13">
        <f t="shared" si="5"/>
        <v>42614</v>
      </c>
      <c r="I12" s="12">
        <f t="shared" si="6"/>
        <v>2016.1999999999996</v>
      </c>
      <c r="J12" s="10">
        <f t="shared" si="7"/>
        <v>2016.3999999999996</v>
      </c>
      <c r="K12" s="13">
        <f t="shared" si="8"/>
        <v>42522</v>
      </c>
      <c r="L12" s="76"/>
      <c r="M12" s="35">
        <f>'Pivot tables'!L10</f>
        <v>1.0620000000000001</v>
      </c>
      <c r="N12" s="34">
        <f>'Pivot tables'!M10</f>
        <v>1.075</v>
      </c>
    </row>
    <row r="13" spans="1:33" x14ac:dyDescent="0.25">
      <c r="E13" s="17">
        <v>90</v>
      </c>
      <c r="F13" s="12">
        <f t="shared" si="3"/>
        <v>2016.3999999999994</v>
      </c>
      <c r="G13" s="10">
        <f t="shared" si="4"/>
        <v>2017.1999999999994</v>
      </c>
      <c r="H13" s="13">
        <f t="shared" si="5"/>
        <v>42705</v>
      </c>
      <c r="I13" s="12">
        <f t="shared" si="6"/>
        <v>2016.2999999999995</v>
      </c>
      <c r="J13" s="10">
        <f t="shared" si="7"/>
        <v>2017.0999999999997</v>
      </c>
      <c r="K13" s="13">
        <f t="shared" si="8"/>
        <v>42614</v>
      </c>
      <c r="L13" s="76"/>
      <c r="V13" t="s">
        <v>63</v>
      </c>
    </row>
    <row r="14" spans="1:33" x14ac:dyDescent="0.25">
      <c r="E14" s="17">
        <v>91</v>
      </c>
      <c r="F14" s="12">
        <f t="shared" si="3"/>
        <v>2017.0999999999995</v>
      </c>
      <c r="G14" s="10">
        <f t="shared" si="4"/>
        <v>2017.2999999999993</v>
      </c>
      <c r="H14" s="13">
        <f t="shared" si="5"/>
        <v>42795</v>
      </c>
      <c r="I14" s="12">
        <f t="shared" si="6"/>
        <v>2016.3999999999994</v>
      </c>
      <c r="J14" s="10">
        <f t="shared" si="7"/>
        <v>2017.1999999999996</v>
      </c>
      <c r="K14" s="13">
        <f t="shared" si="8"/>
        <v>42705</v>
      </c>
      <c r="L14" s="76"/>
      <c r="V14" t="s">
        <v>64</v>
      </c>
    </row>
    <row r="15" spans="1:33" x14ac:dyDescent="0.25">
      <c r="E15" s="17">
        <v>92</v>
      </c>
      <c r="F15" s="12">
        <f t="shared" si="3"/>
        <v>2017.1999999999994</v>
      </c>
      <c r="G15" s="10">
        <f t="shared" si="4"/>
        <v>2017.3999999999992</v>
      </c>
      <c r="H15" s="13">
        <f t="shared" si="5"/>
        <v>42887</v>
      </c>
      <c r="I15" s="12">
        <f t="shared" si="6"/>
        <v>2017.0999999999995</v>
      </c>
      <c r="J15" s="10">
        <f t="shared" si="7"/>
        <v>2017.2999999999995</v>
      </c>
      <c r="K15" s="13">
        <f t="shared" si="8"/>
        <v>42795</v>
      </c>
      <c r="L15" s="76"/>
      <c r="V15" t="s">
        <v>65</v>
      </c>
    </row>
    <row r="16" spans="1:33" x14ac:dyDescent="0.25">
      <c r="E16" s="17">
        <v>93</v>
      </c>
      <c r="F16" s="12">
        <f t="shared" si="3"/>
        <v>2017.2999999999993</v>
      </c>
      <c r="G16" s="10">
        <f t="shared" si="4"/>
        <v>2018.0999999999992</v>
      </c>
      <c r="H16" s="13">
        <f t="shared" si="5"/>
        <v>42979</v>
      </c>
      <c r="I16" s="12">
        <f t="shared" si="6"/>
        <v>2017.1999999999994</v>
      </c>
      <c r="J16" s="10">
        <f t="shared" si="7"/>
        <v>2017.3999999999994</v>
      </c>
      <c r="K16" s="13">
        <f t="shared" si="8"/>
        <v>42887</v>
      </c>
      <c r="L16" s="76"/>
      <c r="M16" s="308" t="str">
        <f>CONCATENATE("For quarter ",'Pivot tables'!$K$10,", what is the estimate as a % of final count?")</f>
        <v>For quarter 45261, what is the estimate as a % of final count?</v>
      </c>
      <c r="N16" s="308"/>
      <c r="O16" s="308"/>
      <c r="P16" s="308"/>
      <c r="V16" t="s">
        <v>66</v>
      </c>
    </row>
    <row r="17" spans="5:30" x14ac:dyDescent="0.25">
      <c r="E17" s="17">
        <v>94</v>
      </c>
      <c r="F17" s="12">
        <f t="shared" si="3"/>
        <v>2017.3999999999992</v>
      </c>
      <c r="G17" s="10">
        <f t="shared" si="4"/>
        <v>2018.1999999999991</v>
      </c>
      <c r="H17" s="13">
        <f t="shared" si="5"/>
        <v>43070</v>
      </c>
      <c r="I17" s="12">
        <f t="shared" si="6"/>
        <v>2017.2999999999993</v>
      </c>
      <c r="J17" s="10">
        <f t="shared" si="7"/>
        <v>2018.0999999999995</v>
      </c>
      <c r="K17" s="13">
        <f t="shared" si="8"/>
        <v>42979</v>
      </c>
      <c r="L17" s="76"/>
      <c r="M17" s="308"/>
      <c r="N17" s="308"/>
      <c r="O17" s="308"/>
      <c r="P17" s="308"/>
    </row>
    <row r="18" spans="5:30" x14ac:dyDescent="0.25">
      <c r="E18" s="17">
        <v>95</v>
      </c>
      <c r="F18" s="12">
        <f t="shared" si="3"/>
        <v>2018.0999999999992</v>
      </c>
      <c r="G18" s="10">
        <f t="shared" si="4"/>
        <v>2018.299999999999</v>
      </c>
      <c r="H18" s="13">
        <f t="shared" si="5"/>
        <v>43160</v>
      </c>
      <c r="I18" s="12">
        <f t="shared" si="6"/>
        <v>2017.3999999999992</v>
      </c>
      <c r="J18" s="10">
        <f t="shared" si="7"/>
        <v>2018.1999999999994</v>
      </c>
      <c r="K18" s="13">
        <f t="shared" si="8"/>
        <v>43070</v>
      </c>
      <c r="L18" s="76"/>
    </row>
    <row r="19" spans="5:30" x14ac:dyDescent="0.25">
      <c r="E19" s="17">
        <v>96</v>
      </c>
      <c r="F19" s="12">
        <f t="shared" si="3"/>
        <v>2018.1999999999991</v>
      </c>
      <c r="G19" s="10">
        <f t="shared" si="4"/>
        <v>2018.399999999999</v>
      </c>
      <c r="H19" s="13">
        <f t="shared" si="5"/>
        <v>43252</v>
      </c>
      <c r="I19" s="12">
        <f t="shared" si="6"/>
        <v>2018.0999999999992</v>
      </c>
      <c r="J19" s="10">
        <f t="shared" si="7"/>
        <v>2018.2999999999993</v>
      </c>
      <c r="K19" s="13">
        <f t="shared" si="8"/>
        <v>43160</v>
      </c>
      <c r="L19" s="76"/>
      <c r="U19" t="s">
        <v>69</v>
      </c>
      <c r="V19" s="61" t="s">
        <v>68</v>
      </c>
    </row>
    <row r="20" spans="5:30" ht="16.5" x14ac:dyDescent="0.3">
      <c r="E20" s="17">
        <v>97</v>
      </c>
      <c r="F20" s="12">
        <f t="shared" si="3"/>
        <v>2018.299999999999</v>
      </c>
      <c r="G20" s="10">
        <f t="shared" si="4"/>
        <v>2019.099999999999</v>
      </c>
      <c r="H20" s="13">
        <f t="shared" si="5"/>
        <v>43344</v>
      </c>
      <c r="I20" s="12">
        <f t="shared" si="6"/>
        <v>2018.1999999999991</v>
      </c>
      <c r="J20" s="10">
        <f t="shared" si="7"/>
        <v>2018.3999999999992</v>
      </c>
      <c r="K20" s="13">
        <f t="shared" si="8"/>
        <v>43252</v>
      </c>
      <c r="L20" s="76"/>
      <c r="V20" s="62" t="s">
        <v>70</v>
      </c>
    </row>
    <row r="21" spans="5:30" x14ac:dyDescent="0.25">
      <c r="E21" s="17">
        <v>98</v>
      </c>
      <c r="F21" s="12">
        <f t="shared" si="3"/>
        <v>2018.399999999999</v>
      </c>
      <c r="G21" s="10">
        <f t="shared" si="4"/>
        <v>2019.1999999999989</v>
      </c>
      <c r="H21" s="13">
        <f t="shared" si="5"/>
        <v>43435</v>
      </c>
      <c r="I21" s="12">
        <f t="shared" si="6"/>
        <v>2018.299999999999</v>
      </c>
      <c r="J21" s="10">
        <f t="shared" si="7"/>
        <v>2019.0999999999992</v>
      </c>
      <c r="K21" s="13">
        <f t="shared" si="8"/>
        <v>43344</v>
      </c>
      <c r="L21" s="76"/>
    </row>
    <row r="22" spans="5:30" x14ac:dyDescent="0.25">
      <c r="E22" s="17">
        <v>99</v>
      </c>
      <c r="F22" s="12">
        <f t="shared" si="3"/>
        <v>2019.099999999999</v>
      </c>
      <c r="G22" s="10">
        <f t="shared" si="4"/>
        <v>2019.2999999999988</v>
      </c>
      <c r="H22" s="13">
        <f t="shared" si="5"/>
        <v>43525</v>
      </c>
      <c r="I22" s="12">
        <f t="shared" si="6"/>
        <v>2018.399999999999</v>
      </c>
      <c r="J22" s="10">
        <f t="shared" si="7"/>
        <v>2019.1999999999991</v>
      </c>
      <c r="K22" s="13">
        <f t="shared" si="8"/>
        <v>43435</v>
      </c>
      <c r="L22" s="76"/>
    </row>
    <row r="23" spans="5:30" x14ac:dyDescent="0.25">
      <c r="E23" s="17">
        <v>100</v>
      </c>
      <c r="F23" s="12">
        <f t="shared" si="3"/>
        <v>2019.1999999999989</v>
      </c>
      <c r="G23" s="10">
        <f t="shared" si="4"/>
        <v>2019.3999999999987</v>
      </c>
      <c r="H23" s="13">
        <f t="shared" si="5"/>
        <v>43617</v>
      </c>
      <c r="I23" s="12">
        <f t="shared" si="6"/>
        <v>2019.099999999999</v>
      </c>
      <c r="J23" s="10">
        <f t="shared" si="7"/>
        <v>2019.299999999999</v>
      </c>
      <c r="K23" s="13">
        <f t="shared" si="8"/>
        <v>43525</v>
      </c>
      <c r="L23" s="76"/>
    </row>
    <row r="24" spans="5:30" x14ac:dyDescent="0.25">
      <c r="E24" s="17">
        <v>101</v>
      </c>
      <c r="F24" s="12">
        <f t="shared" si="3"/>
        <v>2019.2999999999988</v>
      </c>
      <c r="G24" s="10">
        <f t="shared" si="4"/>
        <v>2020.0999999999988</v>
      </c>
      <c r="H24" s="13">
        <f t="shared" si="5"/>
        <v>43709</v>
      </c>
      <c r="I24" s="12">
        <f t="shared" si="6"/>
        <v>2019.1999999999989</v>
      </c>
      <c r="J24" s="10">
        <f t="shared" si="7"/>
        <v>2019.399999999999</v>
      </c>
      <c r="K24" s="13">
        <f t="shared" si="8"/>
        <v>43617</v>
      </c>
      <c r="L24" s="76"/>
      <c r="V24" t="s">
        <v>3</v>
      </c>
      <c r="AB24" t="s">
        <v>129</v>
      </c>
    </row>
    <row r="25" spans="5:30" x14ac:dyDescent="0.25">
      <c r="E25" s="17">
        <v>102</v>
      </c>
      <c r="F25" s="12">
        <f t="shared" si="3"/>
        <v>2019.3999999999987</v>
      </c>
      <c r="G25" s="10">
        <f t="shared" si="4"/>
        <v>2020.1999999999987</v>
      </c>
      <c r="H25" s="13">
        <f t="shared" si="5"/>
        <v>43800</v>
      </c>
      <c r="I25" s="12">
        <f t="shared" si="6"/>
        <v>2019.2999999999988</v>
      </c>
      <c r="J25" s="10">
        <f t="shared" si="7"/>
        <v>2020.099999999999</v>
      </c>
      <c r="K25" s="13">
        <f t="shared" si="8"/>
        <v>43709</v>
      </c>
      <c r="L25" s="76"/>
      <c r="V25" t="s">
        <v>8</v>
      </c>
      <c r="AC25" t="s">
        <v>130</v>
      </c>
      <c r="AD25" t="s">
        <v>131</v>
      </c>
    </row>
    <row r="26" spans="5:30" x14ac:dyDescent="0.25">
      <c r="E26" s="17">
        <v>103</v>
      </c>
      <c r="F26" s="12">
        <f t="shared" si="3"/>
        <v>2020.0999999999988</v>
      </c>
      <c r="G26" s="10">
        <f t="shared" si="4"/>
        <v>2020.2999999999986</v>
      </c>
      <c r="H26" s="13">
        <f t="shared" si="5"/>
        <v>43891</v>
      </c>
      <c r="I26" s="12">
        <f t="shared" si="6"/>
        <v>2019.3999999999987</v>
      </c>
      <c r="J26" s="10">
        <f t="shared" si="7"/>
        <v>2020.1999999999989</v>
      </c>
      <c r="K26" s="13">
        <f t="shared" si="8"/>
        <v>43800</v>
      </c>
      <c r="L26" s="76"/>
      <c r="V26" t="s">
        <v>5</v>
      </c>
      <c r="Z26" t="s">
        <v>132</v>
      </c>
      <c r="AA26">
        <v>89</v>
      </c>
      <c r="AB26">
        <v>1</v>
      </c>
      <c r="AC26">
        <v>27567</v>
      </c>
      <c r="AD26" t="e">
        <v>#N/A</v>
      </c>
    </row>
    <row r="27" spans="5:30" x14ac:dyDescent="0.25">
      <c r="E27" s="17">
        <v>104</v>
      </c>
      <c r="F27" s="12">
        <f t="shared" si="3"/>
        <v>2020.1999999999987</v>
      </c>
      <c r="G27" s="10">
        <f t="shared" si="4"/>
        <v>2020.3999999999985</v>
      </c>
      <c r="H27" s="13">
        <f t="shared" si="5"/>
        <v>43983</v>
      </c>
      <c r="I27" s="12">
        <f t="shared" si="6"/>
        <v>2020.0999999999988</v>
      </c>
      <c r="J27" s="10">
        <f t="shared" si="7"/>
        <v>2020.2999999999988</v>
      </c>
      <c r="K27" s="13">
        <f t="shared" si="8"/>
        <v>43891</v>
      </c>
      <c r="L27" s="76"/>
      <c r="V27" t="s">
        <v>6</v>
      </c>
      <c r="Z27" t="s">
        <v>133</v>
      </c>
      <c r="AA27">
        <v>90</v>
      </c>
      <c r="AB27">
        <v>2</v>
      </c>
      <c r="AC27">
        <v>36084</v>
      </c>
      <c r="AD27">
        <v>37927</v>
      </c>
    </row>
    <row r="28" spans="5:30" x14ac:dyDescent="0.25">
      <c r="E28" s="17">
        <v>105</v>
      </c>
      <c r="F28" s="12">
        <f t="shared" si="3"/>
        <v>2020.2999999999986</v>
      </c>
      <c r="G28" s="10">
        <f t="shared" si="4"/>
        <v>2021.0999999999985</v>
      </c>
      <c r="H28" s="13">
        <f t="shared" si="5"/>
        <v>44075</v>
      </c>
      <c r="I28" s="12">
        <f t="shared" si="6"/>
        <v>2020.1999999999987</v>
      </c>
      <c r="J28" s="10">
        <f t="shared" si="7"/>
        <v>2020.3999999999987</v>
      </c>
      <c r="K28" s="13">
        <f t="shared" si="8"/>
        <v>43983</v>
      </c>
      <c r="L28" s="76"/>
      <c r="V28" t="s">
        <v>9</v>
      </c>
      <c r="Z28" t="s">
        <v>0</v>
      </c>
      <c r="AA28">
        <v>91</v>
      </c>
      <c r="AB28">
        <v>3</v>
      </c>
      <c r="AC28">
        <v>37140</v>
      </c>
      <c r="AD28">
        <v>37479</v>
      </c>
    </row>
    <row r="29" spans="5:30" x14ac:dyDescent="0.25">
      <c r="E29" s="17">
        <v>106</v>
      </c>
      <c r="F29" s="12">
        <f t="shared" si="3"/>
        <v>2020.3999999999985</v>
      </c>
      <c r="G29" s="10">
        <f t="shared" si="4"/>
        <v>2021.1999999999985</v>
      </c>
      <c r="H29" s="13">
        <f t="shared" si="5"/>
        <v>44166</v>
      </c>
      <c r="I29" s="12">
        <f t="shared" si="6"/>
        <v>2020.2999999999986</v>
      </c>
      <c r="J29" s="10">
        <f t="shared" si="7"/>
        <v>2021.0999999999988</v>
      </c>
      <c r="K29" s="13">
        <f t="shared" si="8"/>
        <v>44075</v>
      </c>
      <c r="L29" s="76"/>
      <c r="V29" t="s">
        <v>7</v>
      </c>
      <c r="Z29" t="s">
        <v>134</v>
      </c>
      <c r="AA29">
        <v>92</v>
      </c>
      <c r="AB29">
        <v>4</v>
      </c>
      <c r="AC29">
        <v>37384</v>
      </c>
      <c r="AD29">
        <v>37493</v>
      </c>
    </row>
    <row r="30" spans="5:30" x14ac:dyDescent="0.25">
      <c r="E30" s="17">
        <v>107</v>
      </c>
      <c r="F30" s="12">
        <f t="shared" si="3"/>
        <v>2021.0999999999985</v>
      </c>
      <c r="G30" s="10">
        <f t="shared" si="4"/>
        <v>2021.2999999999984</v>
      </c>
      <c r="H30" s="13">
        <f t="shared" si="5"/>
        <v>44256</v>
      </c>
      <c r="I30" s="12">
        <f t="shared" si="6"/>
        <v>2020.3999999999985</v>
      </c>
      <c r="J30" s="10">
        <f t="shared" si="7"/>
        <v>2021.1999999999987</v>
      </c>
      <c r="K30" s="13">
        <f t="shared" si="8"/>
        <v>44166</v>
      </c>
      <c r="L30" s="76"/>
      <c r="V30" t="s">
        <v>4</v>
      </c>
      <c r="Z30" t="s">
        <v>24</v>
      </c>
      <c r="AA30">
        <v>93</v>
      </c>
      <c r="AB30">
        <v>5</v>
      </c>
      <c r="AC30">
        <v>37471</v>
      </c>
      <c r="AD30">
        <v>37471</v>
      </c>
    </row>
    <row r="31" spans="5:30" x14ac:dyDescent="0.25">
      <c r="E31" s="17">
        <v>108</v>
      </c>
      <c r="F31" s="12">
        <f t="shared" si="3"/>
        <v>2021.1999999999985</v>
      </c>
      <c r="G31" s="10">
        <f t="shared" si="4"/>
        <v>2021.3999999999983</v>
      </c>
      <c r="H31" s="13">
        <f t="shared" si="5"/>
        <v>44348</v>
      </c>
      <c r="I31" s="12">
        <f t="shared" si="6"/>
        <v>2021.0999999999985</v>
      </c>
      <c r="J31" s="10">
        <f t="shared" si="7"/>
        <v>2021.2999999999986</v>
      </c>
      <c r="K31" s="13">
        <f t="shared" si="8"/>
        <v>44256</v>
      </c>
      <c r="L31" s="76"/>
      <c r="V31" t="s">
        <v>2</v>
      </c>
    </row>
    <row r="32" spans="5:30" x14ac:dyDescent="0.25">
      <c r="E32" s="17">
        <v>109</v>
      </c>
      <c r="F32" s="12">
        <f t="shared" si="3"/>
        <v>2021.2999999999984</v>
      </c>
      <c r="G32" s="10">
        <f t="shared" si="4"/>
        <v>2022.0999999999983</v>
      </c>
      <c r="H32" s="13">
        <f t="shared" si="5"/>
        <v>44440</v>
      </c>
      <c r="I32" s="12">
        <f t="shared" si="6"/>
        <v>2021.1999999999985</v>
      </c>
      <c r="J32" s="10">
        <f t="shared" si="7"/>
        <v>2021.3999999999985</v>
      </c>
      <c r="K32" s="13">
        <f t="shared" si="8"/>
        <v>44348</v>
      </c>
      <c r="L32" s="76"/>
      <c r="V32" t="s">
        <v>1</v>
      </c>
    </row>
    <row r="33" spans="5:12" x14ac:dyDescent="0.25">
      <c r="E33" s="17">
        <v>110</v>
      </c>
      <c r="F33" s="10">
        <f t="shared" si="3"/>
        <v>2021.3999999999983</v>
      </c>
      <c r="G33" s="10">
        <f t="shared" si="4"/>
        <v>2022.1999999999982</v>
      </c>
      <c r="H33" s="13">
        <f t="shared" si="5"/>
        <v>44531</v>
      </c>
      <c r="I33" s="10">
        <f t="shared" si="6"/>
        <v>2021.2999999999984</v>
      </c>
      <c r="J33" s="10">
        <f t="shared" si="7"/>
        <v>2022.0999999999985</v>
      </c>
      <c r="K33" s="13">
        <f t="shared" si="8"/>
        <v>44440</v>
      </c>
      <c r="L33" s="76"/>
    </row>
    <row r="34" spans="5:12" x14ac:dyDescent="0.25">
      <c r="E34" s="17">
        <v>111</v>
      </c>
      <c r="F34" s="10">
        <f t="shared" si="3"/>
        <v>2022.0999999999983</v>
      </c>
      <c r="G34" s="10">
        <f t="shared" si="4"/>
        <v>2022.2999999999981</v>
      </c>
      <c r="H34" s="13">
        <f t="shared" ref="H34:H50" si="11">DATE(LEFT(F34,4),RIGHT(F34,1)*3,1)</f>
        <v>44621</v>
      </c>
      <c r="I34" s="10">
        <f t="shared" si="6"/>
        <v>2021.3999999999983</v>
      </c>
      <c r="J34" s="10">
        <f t="shared" si="7"/>
        <v>2022.1999999999985</v>
      </c>
      <c r="K34" s="13">
        <f t="shared" ref="K34:K50" si="12">DATE(LEFT(I34,4),RIGHT(I34,1)*3,1)</f>
        <v>44531</v>
      </c>
    </row>
    <row r="35" spans="5:12" x14ac:dyDescent="0.25">
      <c r="E35" s="17">
        <v>112</v>
      </c>
      <c r="F35" s="10">
        <f t="shared" si="3"/>
        <v>2022.1999999999982</v>
      </c>
      <c r="G35" s="10">
        <f t="shared" si="4"/>
        <v>2022.399999999998</v>
      </c>
      <c r="H35" s="13">
        <f t="shared" si="11"/>
        <v>44713</v>
      </c>
      <c r="I35" s="10">
        <f t="shared" si="6"/>
        <v>2022.0999999999983</v>
      </c>
      <c r="J35" s="10">
        <f t="shared" si="7"/>
        <v>2022.2999999999984</v>
      </c>
      <c r="K35" s="13">
        <f t="shared" si="12"/>
        <v>44621</v>
      </c>
    </row>
    <row r="36" spans="5:12" x14ac:dyDescent="0.25">
      <c r="E36" s="17">
        <v>113</v>
      </c>
      <c r="F36" s="10">
        <f t="shared" si="3"/>
        <v>2022.2999999999981</v>
      </c>
      <c r="G36" s="10">
        <f t="shared" si="4"/>
        <v>2023.0999999999981</v>
      </c>
      <c r="H36" s="13">
        <f t="shared" si="11"/>
        <v>44805</v>
      </c>
      <c r="I36" s="10">
        <f t="shared" si="6"/>
        <v>2022.1999999999982</v>
      </c>
      <c r="J36" s="10">
        <f t="shared" si="7"/>
        <v>2022.3999999999983</v>
      </c>
      <c r="K36" s="13">
        <f t="shared" si="12"/>
        <v>44713</v>
      </c>
    </row>
    <row r="37" spans="5:12" x14ac:dyDescent="0.25">
      <c r="E37" s="17">
        <v>114</v>
      </c>
      <c r="F37" s="10">
        <f t="shared" si="3"/>
        <v>2022.399999999998</v>
      </c>
      <c r="G37" s="10">
        <f t="shared" si="4"/>
        <v>2023.199999999998</v>
      </c>
      <c r="H37" s="13">
        <f t="shared" si="11"/>
        <v>44896</v>
      </c>
      <c r="I37" s="10">
        <f t="shared" si="6"/>
        <v>2022.2999999999981</v>
      </c>
      <c r="J37" s="10">
        <f t="shared" si="7"/>
        <v>2023.0999999999983</v>
      </c>
      <c r="K37" s="13">
        <f t="shared" si="12"/>
        <v>44805</v>
      </c>
    </row>
    <row r="38" spans="5:12" x14ac:dyDescent="0.25">
      <c r="E38" s="17">
        <v>115</v>
      </c>
      <c r="F38" s="10">
        <f t="shared" si="3"/>
        <v>2023.0999999999981</v>
      </c>
      <c r="G38" s="10">
        <f t="shared" si="4"/>
        <v>2023.2999999999979</v>
      </c>
      <c r="H38" s="13">
        <f t="shared" si="11"/>
        <v>44986</v>
      </c>
      <c r="I38" s="10">
        <f t="shared" si="6"/>
        <v>2022.399999999998</v>
      </c>
      <c r="J38" s="10">
        <f t="shared" si="7"/>
        <v>2023.1999999999982</v>
      </c>
      <c r="K38" s="13">
        <f t="shared" si="12"/>
        <v>44896</v>
      </c>
    </row>
    <row r="39" spans="5:12" x14ac:dyDescent="0.25">
      <c r="E39" s="17">
        <v>116</v>
      </c>
      <c r="F39" s="10">
        <f t="shared" si="3"/>
        <v>2023.199999999998</v>
      </c>
      <c r="G39" s="10">
        <f t="shared" si="4"/>
        <v>2023.3999999999978</v>
      </c>
      <c r="H39" s="13">
        <f t="shared" si="11"/>
        <v>45078</v>
      </c>
      <c r="I39" s="10">
        <f t="shared" si="6"/>
        <v>2023.0999999999981</v>
      </c>
      <c r="J39" s="10">
        <f t="shared" si="7"/>
        <v>2023.2999999999981</v>
      </c>
      <c r="K39" s="13">
        <f t="shared" si="12"/>
        <v>44986</v>
      </c>
    </row>
    <row r="40" spans="5:12" x14ac:dyDescent="0.25">
      <c r="E40" s="17">
        <v>117</v>
      </c>
      <c r="F40" s="10">
        <f t="shared" si="3"/>
        <v>2023.2999999999979</v>
      </c>
      <c r="G40" s="10">
        <f t="shared" si="4"/>
        <v>2024.0999999999979</v>
      </c>
      <c r="H40" s="13">
        <f t="shared" si="11"/>
        <v>45170</v>
      </c>
      <c r="I40" s="10">
        <f t="shared" si="6"/>
        <v>2023.199999999998</v>
      </c>
      <c r="J40" s="10">
        <f t="shared" si="7"/>
        <v>2023.399999999998</v>
      </c>
      <c r="K40" s="13">
        <f t="shared" si="12"/>
        <v>45078</v>
      </c>
    </row>
    <row r="41" spans="5:12" x14ac:dyDescent="0.25">
      <c r="E41" s="17">
        <v>118</v>
      </c>
      <c r="F41" s="10">
        <f t="shared" si="3"/>
        <v>2023.3999999999978</v>
      </c>
      <c r="G41" s="10">
        <f t="shared" si="4"/>
        <v>2024.1999999999978</v>
      </c>
      <c r="H41" s="13">
        <f t="shared" si="11"/>
        <v>45261</v>
      </c>
      <c r="I41" s="10">
        <f t="shared" si="6"/>
        <v>2023.2999999999979</v>
      </c>
      <c r="J41" s="10">
        <f t="shared" si="7"/>
        <v>2024.0999999999981</v>
      </c>
      <c r="K41" s="13">
        <f t="shared" si="12"/>
        <v>45170</v>
      </c>
    </row>
    <row r="42" spans="5:12" x14ac:dyDescent="0.25">
      <c r="E42" s="17">
        <v>119</v>
      </c>
      <c r="F42" s="10">
        <f t="shared" si="3"/>
        <v>2024.0999999999979</v>
      </c>
      <c r="G42" s="10">
        <f t="shared" si="4"/>
        <v>2024.2999999999977</v>
      </c>
      <c r="H42" s="13">
        <f t="shared" si="11"/>
        <v>45352</v>
      </c>
      <c r="I42" s="10">
        <f t="shared" si="6"/>
        <v>2023.3999999999978</v>
      </c>
      <c r="J42" s="10">
        <f t="shared" si="7"/>
        <v>2024.199999999998</v>
      </c>
      <c r="K42" s="13">
        <f t="shared" si="12"/>
        <v>45261</v>
      </c>
    </row>
    <row r="43" spans="5:12" x14ac:dyDescent="0.25">
      <c r="E43" s="17">
        <v>120</v>
      </c>
      <c r="F43" s="10">
        <f t="shared" si="3"/>
        <v>2024.1999999999978</v>
      </c>
      <c r="G43" s="10">
        <f t="shared" si="4"/>
        <v>2024.3999999999976</v>
      </c>
      <c r="H43" s="13">
        <f t="shared" si="11"/>
        <v>45444</v>
      </c>
      <c r="I43" s="10">
        <f t="shared" si="6"/>
        <v>2024.0999999999979</v>
      </c>
      <c r="J43" s="10">
        <f t="shared" si="7"/>
        <v>2024.2999999999979</v>
      </c>
      <c r="K43" s="13">
        <f t="shared" si="12"/>
        <v>45352</v>
      </c>
    </row>
    <row r="44" spans="5:12" x14ac:dyDescent="0.25">
      <c r="E44" s="17">
        <v>121</v>
      </c>
      <c r="F44" s="10">
        <f t="shared" si="3"/>
        <v>2024.2999999999977</v>
      </c>
      <c r="G44" s="10">
        <f t="shared" si="4"/>
        <v>2025.0999999999976</v>
      </c>
      <c r="H44" s="13">
        <f t="shared" si="11"/>
        <v>45536</v>
      </c>
      <c r="I44" s="10">
        <f t="shared" si="6"/>
        <v>2024.1999999999978</v>
      </c>
      <c r="J44" s="10">
        <f t="shared" si="7"/>
        <v>2024.3999999999978</v>
      </c>
      <c r="K44" s="13">
        <f t="shared" si="12"/>
        <v>45444</v>
      </c>
    </row>
    <row r="45" spans="5:12" x14ac:dyDescent="0.25">
      <c r="E45" s="17">
        <v>122</v>
      </c>
      <c r="F45" s="10">
        <f t="shared" si="3"/>
        <v>2024.3999999999976</v>
      </c>
      <c r="G45" s="10">
        <f t="shared" si="4"/>
        <v>2025.1999999999975</v>
      </c>
      <c r="H45" s="13">
        <f t="shared" si="11"/>
        <v>45627</v>
      </c>
      <c r="I45" s="10">
        <f t="shared" si="6"/>
        <v>2024.2999999999977</v>
      </c>
      <c r="J45" s="10">
        <f t="shared" si="7"/>
        <v>2025.0999999999979</v>
      </c>
      <c r="K45" s="13">
        <f t="shared" si="12"/>
        <v>45536</v>
      </c>
    </row>
    <row r="46" spans="5:12" x14ac:dyDescent="0.25">
      <c r="E46" s="17">
        <v>123</v>
      </c>
      <c r="F46" s="10">
        <f t="shared" si="3"/>
        <v>2025.0999999999976</v>
      </c>
      <c r="G46" s="10">
        <f t="shared" si="4"/>
        <v>2025.2999999999975</v>
      </c>
      <c r="H46" s="13">
        <f t="shared" si="11"/>
        <v>45717</v>
      </c>
      <c r="I46" s="10">
        <f t="shared" si="6"/>
        <v>2024.3999999999976</v>
      </c>
      <c r="J46" s="10">
        <f t="shared" si="7"/>
        <v>2025.1999999999978</v>
      </c>
      <c r="K46" s="13">
        <f t="shared" si="12"/>
        <v>45627</v>
      </c>
    </row>
    <row r="47" spans="5:12" x14ac:dyDescent="0.25">
      <c r="E47" s="17">
        <v>124</v>
      </c>
      <c r="F47" s="10">
        <f t="shared" si="3"/>
        <v>2025.1999999999975</v>
      </c>
      <c r="G47" s="10">
        <f t="shared" si="4"/>
        <v>2025.3999999999974</v>
      </c>
      <c r="H47" s="13">
        <f t="shared" si="11"/>
        <v>45809</v>
      </c>
      <c r="I47" s="10">
        <f t="shared" si="6"/>
        <v>2025.0999999999976</v>
      </c>
      <c r="J47" s="10">
        <f t="shared" si="7"/>
        <v>2025.2999999999977</v>
      </c>
      <c r="K47" s="13">
        <f t="shared" si="12"/>
        <v>45717</v>
      </c>
    </row>
    <row r="48" spans="5:12" x14ac:dyDescent="0.25">
      <c r="E48" s="17">
        <v>125</v>
      </c>
      <c r="F48" s="10">
        <f t="shared" si="3"/>
        <v>2025.2999999999975</v>
      </c>
      <c r="G48" s="10">
        <f t="shared" si="4"/>
        <v>2026.0999999999974</v>
      </c>
      <c r="H48" s="13">
        <f t="shared" si="11"/>
        <v>45901</v>
      </c>
      <c r="I48" s="10">
        <f t="shared" si="6"/>
        <v>2025.1999999999975</v>
      </c>
      <c r="J48" s="10">
        <f t="shared" si="7"/>
        <v>2025.3999999999976</v>
      </c>
      <c r="K48" s="13">
        <f t="shared" si="12"/>
        <v>45809</v>
      </c>
    </row>
    <row r="49" spans="5:11" x14ac:dyDescent="0.25">
      <c r="E49" s="17">
        <v>126</v>
      </c>
      <c r="F49" s="10">
        <f t="shared" si="3"/>
        <v>2025.3999999999974</v>
      </c>
      <c r="G49" s="10">
        <f t="shared" si="4"/>
        <v>2026.1999999999973</v>
      </c>
      <c r="H49" s="13">
        <f t="shared" si="11"/>
        <v>45992</v>
      </c>
      <c r="I49" s="10">
        <f t="shared" si="6"/>
        <v>2025.2999999999975</v>
      </c>
      <c r="J49" s="10">
        <f t="shared" si="7"/>
        <v>2026.0999999999976</v>
      </c>
      <c r="K49" s="13">
        <f t="shared" si="12"/>
        <v>45901</v>
      </c>
    </row>
    <row r="50" spans="5:11" x14ac:dyDescent="0.25">
      <c r="E50" s="17">
        <v>127</v>
      </c>
      <c r="F50" s="10">
        <f t="shared" si="3"/>
        <v>2026.0999999999974</v>
      </c>
      <c r="G50" s="10">
        <f t="shared" si="4"/>
        <v>2026.2999999999972</v>
      </c>
      <c r="H50" s="13">
        <f t="shared" si="11"/>
        <v>46082</v>
      </c>
      <c r="I50" s="10">
        <f t="shared" si="6"/>
        <v>2025.3999999999974</v>
      </c>
      <c r="J50" s="10">
        <f t="shared" si="7"/>
        <v>2026.1999999999975</v>
      </c>
      <c r="K50" s="13">
        <f t="shared" si="12"/>
        <v>45992</v>
      </c>
    </row>
    <row r="51" spans="5:11" x14ac:dyDescent="0.25">
      <c r="E51" s="17">
        <v>128</v>
      </c>
      <c r="F51" s="10">
        <f t="shared" si="3"/>
        <v>2026.1999999999973</v>
      </c>
      <c r="G51" s="10">
        <f t="shared" si="4"/>
        <v>2026.3999999999971</v>
      </c>
      <c r="H51" s="13">
        <f t="shared" ref="H51:H73" si="13">DATE(LEFT(F51,4),RIGHT(F51,1)*3,1)</f>
        <v>46174</v>
      </c>
      <c r="I51" s="10">
        <f t="shared" si="6"/>
        <v>2026.0999999999974</v>
      </c>
      <c r="J51" s="10">
        <f t="shared" si="7"/>
        <v>2026.2999999999975</v>
      </c>
      <c r="K51" s="13">
        <f t="shared" ref="K51:K73" si="14">DATE(LEFT(I51,4),RIGHT(I51,1)*3,1)</f>
        <v>46082</v>
      </c>
    </row>
    <row r="52" spans="5:11" x14ac:dyDescent="0.25">
      <c r="E52" s="17">
        <v>129</v>
      </c>
      <c r="F52" s="10">
        <f t="shared" si="3"/>
        <v>2026.2999999999972</v>
      </c>
      <c r="G52" s="10">
        <f t="shared" si="4"/>
        <v>2027.0999999999972</v>
      </c>
      <c r="H52" s="13">
        <f t="shared" si="13"/>
        <v>46266</v>
      </c>
      <c r="I52" s="10">
        <f t="shared" si="6"/>
        <v>2026.1999999999973</v>
      </c>
      <c r="J52" s="10">
        <f t="shared" si="7"/>
        <v>2026.3999999999974</v>
      </c>
      <c r="K52" s="13">
        <f t="shared" si="14"/>
        <v>46174</v>
      </c>
    </row>
    <row r="53" spans="5:11" x14ac:dyDescent="0.25">
      <c r="E53" s="17">
        <v>130</v>
      </c>
      <c r="F53" s="10">
        <f t="shared" si="3"/>
        <v>2026.3999999999971</v>
      </c>
      <c r="G53" s="10">
        <f t="shared" si="4"/>
        <v>2027.1999999999971</v>
      </c>
      <c r="H53" s="13">
        <f t="shared" si="13"/>
        <v>46357</v>
      </c>
      <c r="I53" s="10">
        <f t="shared" si="6"/>
        <v>2026.2999999999972</v>
      </c>
      <c r="J53" s="10">
        <f t="shared" si="7"/>
        <v>2027.0999999999974</v>
      </c>
      <c r="K53" s="13">
        <f t="shared" si="14"/>
        <v>46266</v>
      </c>
    </row>
    <row r="54" spans="5:11" x14ac:dyDescent="0.25">
      <c r="E54" s="17">
        <v>131</v>
      </c>
      <c r="F54" s="10">
        <f t="shared" si="3"/>
        <v>2027.0999999999972</v>
      </c>
      <c r="G54" s="10">
        <f t="shared" si="4"/>
        <v>2027.299999999997</v>
      </c>
      <c r="H54" s="13">
        <f t="shared" si="13"/>
        <v>46447</v>
      </c>
      <c r="I54" s="10">
        <f t="shared" si="6"/>
        <v>2026.3999999999971</v>
      </c>
      <c r="J54" s="10">
        <f t="shared" si="7"/>
        <v>2027.1999999999973</v>
      </c>
      <c r="K54" s="13">
        <f t="shared" si="14"/>
        <v>46357</v>
      </c>
    </row>
    <row r="55" spans="5:11" x14ac:dyDescent="0.25">
      <c r="E55" s="17">
        <v>132</v>
      </c>
      <c r="F55" s="10">
        <f t="shared" si="3"/>
        <v>2027.1999999999971</v>
      </c>
      <c r="G55" s="10">
        <f t="shared" si="4"/>
        <v>2027.3999999999969</v>
      </c>
      <c r="H55" s="13">
        <f t="shared" si="13"/>
        <v>46539</v>
      </c>
      <c r="I55" s="10">
        <f t="shared" si="6"/>
        <v>2027.0999999999972</v>
      </c>
      <c r="J55" s="10">
        <f t="shared" si="7"/>
        <v>2027.2999999999972</v>
      </c>
      <c r="K55" s="13">
        <f t="shared" si="14"/>
        <v>46447</v>
      </c>
    </row>
    <row r="56" spans="5:11" x14ac:dyDescent="0.25">
      <c r="E56" s="17">
        <v>133</v>
      </c>
      <c r="F56" s="10">
        <f t="shared" si="3"/>
        <v>2027.299999999997</v>
      </c>
      <c r="G56" s="10">
        <f t="shared" si="4"/>
        <v>2028.099999999997</v>
      </c>
      <c r="H56" s="13">
        <f t="shared" si="13"/>
        <v>46631</v>
      </c>
      <c r="I56" s="10">
        <f t="shared" si="6"/>
        <v>2027.1999999999971</v>
      </c>
      <c r="J56" s="10">
        <f t="shared" si="7"/>
        <v>2027.3999999999971</v>
      </c>
      <c r="K56" s="13">
        <f t="shared" si="14"/>
        <v>46539</v>
      </c>
    </row>
    <row r="57" spans="5:11" x14ac:dyDescent="0.25">
      <c r="E57" s="17">
        <v>134</v>
      </c>
      <c r="F57" s="10">
        <f t="shared" si="3"/>
        <v>2027.3999999999969</v>
      </c>
      <c r="G57" s="10">
        <f t="shared" si="4"/>
        <v>2028.1999999999969</v>
      </c>
      <c r="H57" s="13">
        <f t="shared" si="13"/>
        <v>46722</v>
      </c>
      <c r="I57" s="10">
        <f t="shared" si="6"/>
        <v>2027.299999999997</v>
      </c>
      <c r="J57" s="10">
        <f t="shared" si="7"/>
        <v>2028.0999999999972</v>
      </c>
      <c r="K57" s="13">
        <f t="shared" si="14"/>
        <v>46631</v>
      </c>
    </row>
    <row r="58" spans="5:11" x14ac:dyDescent="0.25">
      <c r="E58" s="17">
        <v>135</v>
      </c>
      <c r="F58" s="10">
        <f t="shared" si="3"/>
        <v>2028.099999999997</v>
      </c>
      <c r="G58" s="10">
        <f t="shared" si="4"/>
        <v>2028.2999999999968</v>
      </c>
      <c r="H58" s="13">
        <f t="shared" si="13"/>
        <v>46813</v>
      </c>
      <c r="I58" s="10">
        <f t="shared" si="6"/>
        <v>2027.3999999999969</v>
      </c>
      <c r="J58" s="10">
        <f t="shared" si="7"/>
        <v>2028.1999999999971</v>
      </c>
      <c r="K58" s="13">
        <f t="shared" si="14"/>
        <v>46722</v>
      </c>
    </row>
    <row r="59" spans="5:11" x14ac:dyDescent="0.25">
      <c r="E59" s="17">
        <v>136</v>
      </c>
      <c r="F59" s="10">
        <f t="shared" si="3"/>
        <v>2028.1999999999969</v>
      </c>
      <c r="G59" s="10">
        <f t="shared" si="4"/>
        <v>2028.3999999999967</v>
      </c>
      <c r="H59" s="13">
        <f t="shared" si="13"/>
        <v>46905</v>
      </c>
      <c r="I59" s="10">
        <f t="shared" si="6"/>
        <v>2028.099999999997</v>
      </c>
      <c r="J59" s="10">
        <f t="shared" si="7"/>
        <v>2028.299999999997</v>
      </c>
      <c r="K59" s="13">
        <f t="shared" si="14"/>
        <v>46813</v>
      </c>
    </row>
    <row r="60" spans="5:11" x14ac:dyDescent="0.25">
      <c r="E60" s="17">
        <v>137</v>
      </c>
      <c r="F60" s="10">
        <f t="shared" si="3"/>
        <v>2028.2999999999968</v>
      </c>
      <c r="G60" s="10">
        <f t="shared" si="4"/>
        <v>2029.0999999999967</v>
      </c>
      <c r="H60" s="13">
        <f t="shared" si="13"/>
        <v>46997</v>
      </c>
      <c r="I60" s="10">
        <f t="shared" si="6"/>
        <v>2028.1999999999969</v>
      </c>
      <c r="J60" s="10">
        <f t="shared" si="7"/>
        <v>2028.3999999999969</v>
      </c>
      <c r="K60" s="13">
        <f t="shared" si="14"/>
        <v>46905</v>
      </c>
    </row>
    <row r="61" spans="5:11" x14ac:dyDescent="0.25">
      <c r="E61" s="17">
        <v>138</v>
      </c>
      <c r="F61" s="10">
        <f t="shared" si="3"/>
        <v>2028.3999999999967</v>
      </c>
      <c r="G61" s="10">
        <f t="shared" si="4"/>
        <v>2029.1999999999966</v>
      </c>
      <c r="H61" s="13">
        <f t="shared" si="13"/>
        <v>47088</v>
      </c>
      <c r="I61" s="10">
        <f t="shared" si="6"/>
        <v>2028.2999999999968</v>
      </c>
      <c r="J61" s="10">
        <f t="shared" si="7"/>
        <v>2029.099999999997</v>
      </c>
      <c r="K61" s="13">
        <f t="shared" si="14"/>
        <v>46997</v>
      </c>
    </row>
    <row r="62" spans="5:11" x14ac:dyDescent="0.25">
      <c r="E62" s="17">
        <v>139</v>
      </c>
      <c r="F62" s="10">
        <f t="shared" si="3"/>
        <v>2029.0999999999967</v>
      </c>
      <c r="G62" s="10">
        <f t="shared" si="4"/>
        <v>2029.2999999999965</v>
      </c>
      <c r="H62" s="13">
        <f t="shared" si="13"/>
        <v>47178</v>
      </c>
      <c r="I62" s="10">
        <f t="shared" si="6"/>
        <v>2028.3999999999967</v>
      </c>
      <c r="J62" s="10">
        <f t="shared" si="7"/>
        <v>2029.1999999999969</v>
      </c>
      <c r="K62" s="13">
        <f t="shared" si="14"/>
        <v>47088</v>
      </c>
    </row>
    <row r="63" spans="5:11" x14ac:dyDescent="0.25">
      <c r="E63" s="17">
        <v>140</v>
      </c>
      <c r="F63" s="10">
        <f t="shared" si="3"/>
        <v>2029.1999999999966</v>
      </c>
      <c r="G63" s="10">
        <f t="shared" si="4"/>
        <v>2029.3999999999965</v>
      </c>
      <c r="H63" s="13">
        <f t="shared" si="13"/>
        <v>47270</v>
      </c>
      <c r="I63" s="10">
        <f t="shared" si="6"/>
        <v>2029.0999999999967</v>
      </c>
      <c r="J63" s="10">
        <f t="shared" si="7"/>
        <v>2029.2999999999968</v>
      </c>
      <c r="K63" s="13">
        <f t="shared" si="14"/>
        <v>47178</v>
      </c>
    </row>
    <row r="64" spans="5:11" x14ac:dyDescent="0.25">
      <c r="E64" s="17">
        <v>141</v>
      </c>
      <c r="F64" s="10">
        <f t="shared" si="3"/>
        <v>2029.2999999999965</v>
      </c>
      <c r="G64" s="10">
        <f t="shared" si="4"/>
        <v>2030.0999999999965</v>
      </c>
      <c r="H64" s="13">
        <f t="shared" si="13"/>
        <v>47362</v>
      </c>
      <c r="I64" s="10">
        <f t="shared" si="6"/>
        <v>2029.1999999999966</v>
      </c>
      <c r="J64" s="10">
        <f t="shared" si="7"/>
        <v>2029.3999999999967</v>
      </c>
      <c r="K64" s="13">
        <f t="shared" si="14"/>
        <v>47270</v>
      </c>
    </row>
    <row r="65" spans="5:11" x14ac:dyDescent="0.25">
      <c r="E65" s="17">
        <v>142</v>
      </c>
      <c r="F65" s="10">
        <f t="shared" si="3"/>
        <v>2029.3999999999965</v>
      </c>
      <c r="G65" s="10">
        <f t="shared" si="4"/>
        <v>2030.1999999999964</v>
      </c>
      <c r="H65" s="13">
        <f t="shared" si="13"/>
        <v>47453</v>
      </c>
      <c r="I65" s="10">
        <f t="shared" si="6"/>
        <v>2029.2999999999965</v>
      </c>
      <c r="J65" s="10">
        <f t="shared" si="7"/>
        <v>2030.0999999999967</v>
      </c>
      <c r="K65" s="13">
        <f t="shared" si="14"/>
        <v>47362</v>
      </c>
    </row>
    <row r="66" spans="5:11" x14ac:dyDescent="0.25">
      <c r="E66" s="17">
        <v>143</v>
      </c>
      <c r="F66" s="10">
        <f t="shared" si="3"/>
        <v>2030.0999999999965</v>
      </c>
      <c r="G66" s="10">
        <f t="shared" si="4"/>
        <v>2030.2999999999963</v>
      </c>
      <c r="H66" s="13">
        <f t="shared" si="13"/>
        <v>47543</v>
      </c>
      <c r="I66" s="10">
        <f t="shared" si="6"/>
        <v>2029.3999999999965</v>
      </c>
      <c r="J66" s="10">
        <f t="shared" si="7"/>
        <v>2030.1999999999966</v>
      </c>
      <c r="K66" s="13">
        <f t="shared" si="14"/>
        <v>47453</v>
      </c>
    </row>
    <row r="67" spans="5:11" x14ac:dyDescent="0.25">
      <c r="E67" s="17">
        <v>144</v>
      </c>
      <c r="F67" s="10">
        <f t="shared" si="3"/>
        <v>2030.1999999999964</v>
      </c>
      <c r="G67" s="10">
        <f t="shared" si="4"/>
        <v>2030.3999999999962</v>
      </c>
      <c r="H67" s="13">
        <f t="shared" si="13"/>
        <v>47635</v>
      </c>
      <c r="I67" s="10">
        <f t="shared" si="6"/>
        <v>2030.0999999999965</v>
      </c>
      <c r="J67" s="10">
        <f t="shared" si="7"/>
        <v>2030.2999999999965</v>
      </c>
      <c r="K67" s="13">
        <f t="shared" si="14"/>
        <v>47543</v>
      </c>
    </row>
    <row r="68" spans="5:11" x14ac:dyDescent="0.25">
      <c r="E68" s="17">
        <v>145</v>
      </c>
      <c r="F68" s="10">
        <f t="shared" si="3"/>
        <v>2030.2999999999963</v>
      </c>
      <c r="G68" s="10">
        <f t="shared" si="4"/>
        <v>2031.0999999999963</v>
      </c>
      <c r="H68" s="13">
        <f t="shared" si="13"/>
        <v>47727</v>
      </c>
      <c r="I68" s="10">
        <f t="shared" si="6"/>
        <v>2030.1999999999964</v>
      </c>
      <c r="J68" s="10">
        <f t="shared" si="7"/>
        <v>2030.3999999999965</v>
      </c>
      <c r="K68" s="13">
        <f t="shared" si="14"/>
        <v>47635</v>
      </c>
    </row>
    <row r="69" spans="5:11" x14ac:dyDescent="0.25">
      <c r="E69" s="17">
        <v>146</v>
      </c>
      <c r="F69" s="10">
        <f t="shared" si="3"/>
        <v>2030.3999999999962</v>
      </c>
      <c r="G69" s="10">
        <f t="shared" si="4"/>
        <v>2031.1999999999962</v>
      </c>
      <c r="H69" s="13">
        <f t="shared" si="13"/>
        <v>47818</v>
      </c>
      <c r="I69" s="10">
        <f t="shared" si="6"/>
        <v>2030.2999999999963</v>
      </c>
      <c r="J69" s="10">
        <f t="shared" si="7"/>
        <v>2031.0999999999965</v>
      </c>
      <c r="K69" s="13">
        <f t="shared" si="14"/>
        <v>47727</v>
      </c>
    </row>
    <row r="70" spans="5:11" x14ac:dyDescent="0.25">
      <c r="E70" s="17">
        <v>147</v>
      </c>
      <c r="F70" s="10">
        <f t="shared" ref="F70:G70" si="15">IF(VALUE(RIGHT(F69,1))=4,F69+0.7,F69+0.1)</f>
        <v>2031.0999999999963</v>
      </c>
      <c r="G70" s="10">
        <f t="shared" si="15"/>
        <v>2031.2999999999961</v>
      </c>
      <c r="H70" s="13">
        <f t="shared" si="13"/>
        <v>47908</v>
      </c>
      <c r="I70" s="10">
        <f t="shared" ref="I70:J70" si="16">IF(VALUE(RIGHT(I69,1))=4,I69+0.7,I69+0.1)</f>
        <v>2030.3999999999962</v>
      </c>
      <c r="J70" s="10">
        <f t="shared" si="16"/>
        <v>2031.1999999999964</v>
      </c>
      <c r="K70" s="13">
        <f t="shared" si="14"/>
        <v>47818</v>
      </c>
    </row>
    <row r="71" spans="5:11" x14ac:dyDescent="0.25">
      <c r="E71" s="17">
        <v>148</v>
      </c>
      <c r="F71" s="10">
        <f t="shared" si="3"/>
        <v>2031.1999999999962</v>
      </c>
      <c r="G71" s="10">
        <f t="shared" si="4"/>
        <v>2031.399999999996</v>
      </c>
      <c r="H71" s="13">
        <f t="shared" si="13"/>
        <v>48000</v>
      </c>
      <c r="I71" s="10">
        <f t="shared" si="6"/>
        <v>2031.0999999999963</v>
      </c>
      <c r="J71" s="10">
        <f t="shared" si="7"/>
        <v>2031.2999999999963</v>
      </c>
      <c r="K71" s="13">
        <f t="shared" si="14"/>
        <v>47908</v>
      </c>
    </row>
    <row r="72" spans="5:11" x14ac:dyDescent="0.25">
      <c r="E72" s="17">
        <v>149</v>
      </c>
      <c r="F72" s="10">
        <f t="shared" ref="F72:G73" si="17">IF(VALUE(RIGHT(F71,1))=4,F71+0.7,F71+0.1)</f>
        <v>2031.2999999999961</v>
      </c>
      <c r="G72" s="10">
        <f t="shared" si="17"/>
        <v>2032.099999999996</v>
      </c>
      <c r="H72" s="13">
        <f t="shared" si="13"/>
        <v>48092</v>
      </c>
      <c r="I72" s="10">
        <f t="shared" ref="I72:J73" si="18">IF(VALUE(RIGHT(I71,1))=4,I71+0.7,I71+0.1)</f>
        <v>2031.1999999999962</v>
      </c>
      <c r="J72" s="10">
        <f t="shared" si="18"/>
        <v>2031.3999999999962</v>
      </c>
      <c r="K72" s="13">
        <f t="shared" si="14"/>
        <v>48000</v>
      </c>
    </row>
    <row r="73" spans="5:11" x14ac:dyDescent="0.25">
      <c r="E73" s="18">
        <v>150</v>
      </c>
      <c r="F73" s="14">
        <f t="shared" si="17"/>
        <v>2031.399999999996</v>
      </c>
      <c r="G73" s="14">
        <f t="shared" si="17"/>
        <v>2032.199999999996</v>
      </c>
      <c r="H73" s="15">
        <f t="shared" si="13"/>
        <v>48183</v>
      </c>
      <c r="I73" s="14">
        <f t="shared" si="18"/>
        <v>2031.2999999999961</v>
      </c>
      <c r="J73" s="14">
        <f t="shared" si="18"/>
        <v>2032.0999999999963</v>
      </c>
      <c r="K73" s="15">
        <f t="shared" si="14"/>
        <v>48092</v>
      </c>
    </row>
  </sheetData>
  <mergeCells count="5">
    <mergeCell ref="F1:H1"/>
    <mergeCell ref="E1:E2"/>
    <mergeCell ref="I1:K1"/>
    <mergeCell ref="V1:AG1"/>
    <mergeCell ref="M16:P17"/>
  </mergeCells>
  <pageMargins left="0.7" right="0.7" top="0.75" bottom="0.75" header="0.3" footer="0.3"/>
  <ignoredErrors>
    <ignoredError sqref="H5:H33" formula="1"/>
  </ignoredErrors>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M28"/>
  <sheetViews>
    <sheetView showGridLines="0" showRowColHeaders="0" workbookViewId="0">
      <selection activeCell="B2" sqref="B2:K3"/>
    </sheetView>
  </sheetViews>
  <sheetFormatPr defaultRowHeight="15" x14ac:dyDescent="0.25"/>
  <cols>
    <col min="1" max="1" width="3.140625" customWidth="1"/>
    <col min="11" max="11" width="10.7109375" customWidth="1"/>
  </cols>
  <sheetData>
    <row r="1" spans="2:13" ht="15" customHeight="1" x14ac:dyDescent="0.25">
      <c r="B1" s="116"/>
      <c r="C1" s="116"/>
      <c r="D1" s="116"/>
      <c r="E1" s="116"/>
      <c r="F1" s="116"/>
      <c r="G1" s="116"/>
      <c r="H1" s="116"/>
      <c r="I1" s="116"/>
      <c r="J1" s="116"/>
      <c r="K1" s="116"/>
      <c r="L1" s="61"/>
      <c r="M1" s="61"/>
    </row>
    <row r="2" spans="2:13" x14ac:dyDescent="0.25">
      <c r="B2" s="210" t="s">
        <v>91</v>
      </c>
      <c r="C2" s="215"/>
      <c r="D2" s="215"/>
      <c r="E2" s="215"/>
      <c r="F2" s="215"/>
      <c r="G2" s="215"/>
      <c r="H2" s="215"/>
      <c r="I2" s="215"/>
      <c r="J2" s="215"/>
      <c r="K2" s="215"/>
      <c r="L2" s="61"/>
      <c r="M2" s="61"/>
    </row>
    <row r="3" spans="2:13" x14ac:dyDescent="0.25">
      <c r="B3" s="215"/>
      <c r="C3" s="215"/>
      <c r="D3" s="215"/>
      <c r="E3" s="215"/>
      <c r="F3" s="215"/>
      <c r="G3" s="215"/>
      <c r="H3" s="215"/>
      <c r="I3" s="215"/>
      <c r="J3" s="215"/>
      <c r="K3" s="215"/>
      <c r="L3" s="61"/>
      <c r="M3" s="61"/>
    </row>
    <row r="4" spans="2:13" ht="15" customHeight="1" x14ac:dyDescent="0.25">
      <c r="B4" s="161"/>
      <c r="C4" s="161"/>
      <c r="D4" s="161"/>
      <c r="E4" s="161"/>
      <c r="F4" s="161"/>
      <c r="G4" s="161"/>
      <c r="H4" s="161"/>
      <c r="I4" s="161"/>
      <c r="J4" s="161"/>
      <c r="K4" s="161"/>
      <c r="L4" s="61"/>
      <c r="M4" s="61"/>
    </row>
    <row r="5" spans="2:13" x14ac:dyDescent="0.25">
      <c r="B5" s="197" t="s">
        <v>170</v>
      </c>
      <c r="C5" s="116"/>
      <c r="D5" s="116"/>
      <c r="E5" s="116"/>
      <c r="F5" s="116"/>
      <c r="G5" s="116"/>
      <c r="H5" s="116"/>
      <c r="I5" s="116"/>
      <c r="J5" s="116"/>
      <c r="K5" s="116"/>
      <c r="L5" s="61"/>
      <c r="M5" s="61"/>
    </row>
    <row r="6" spans="2:13" x14ac:dyDescent="0.25">
      <c r="B6" s="116"/>
      <c r="C6" s="116"/>
      <c r="D6" s="116"/>
      <c r="E6" s="116"/>
      <c r="F6" s="116"/>
      <c r="G6" s="116"/>
      <c r="H6" s="116"/>
      <c r="I6" s="116"/>
      <c r="J6" s="116"/>
      <c r="K6" s="116"/>
      <c r="L6" s="61"/>
      <c r="M6" s="196"/>
    </row>
    <row r="7" spans="2:13" x14ac:dyDescent="0.25">
      <c r="B7" s="116"/>
      <c r="C7" s="116"/>
      <c r="D7" s="116"/>
      <c r="E7" s="116"/>
      <c r="F7" s="116"/>
      <c r="G7" s="116"/>
      <c r="H7" s="116"/>
      <c r="I7" s="116"/>
      <c r="J7" s="116"/>
      <c r="K7" s="116"/>
      <c r="L7" s="61"/>
      <c r="M7" s="61"/>
    </row>
    <row r="8" spans="2:13" x14ac:dyDescent="0.25">
      <c r="B8" s="116"/>
      <c r="C8" s="116"/>
      <c r="D8" s="116"/>
      <c r="E8" s="116"/>
      <c r="F8" s="116"/>
      <c r="G8" s="116"/>
      <c r="H8" s="116"/>
      <c r="I8" s="116"/>
      <c r="J8" s="116"/>
      <c r="K8" s="116"/>
      <c r="L8" s="61"/>
      <c r="M8" s="61"/>
    </row>
    <row r="9" spans="2:13" x14ac:dyDescent="0.25">
      <c r="B9" s="309" t="s">
        <v>171</v>
      </c>
      <c r="C9" s="310"/>
      <c r="D9" s="310"/>
      <c r="E9" s="310"/>
      <c r="F9" s="310"/>
      <c r="G9" s="310"/>
      <c r="H9" s="310"/>
      <c r="I9" s="310"/>
      <c r="J9" s="310"/>
      <c r="K9" s="310"/>
    </row>
    <row r="10" spans="2:13" x14ac:dyDescent="0.25">
      <c r="B10" s="310"/>
      <c r="C10" s="310"/>
      <c r="D10" s="310"/>
      <c r="E10" s="310"/>
      <c r="F10" s="310"/>
      <c r="G10" s="310"/>
      <c r="H10" s="310"/>
      <c r="I10" s="310"/>
      <c r="J10" s="310"/>
      <c r="K10" s="310"/>
    </row>
    <row r="11" spans="2:13" x14ac:dyDescent="0.25">
      <c r="B11" s="310"/>
      <c r="C11" s="310"/>
      <c r="D11" s="310"/>
      <c r="E11" s="310"/>
      <c r="F11" s="310"/>
      <c r="G11" s="310"/>
      <c r="H11" s="310"/>
      <c r="I11" s="310"/>
      <c r="J11" s="310"/>
      <c r="K11" s="310"/>
    </row>
    <row r="12" spans="2:13" x14ac:dyDescent="0.25">
      <c r="B12" s="310"/>
      <c r="C12" s="310"/>
      <c r="D12" s="310"/>
      <c r="E12" s="310"/>
      <c r="F12" s="310"/>
      <c r="G12" s="310"/>
      <c r="H12" s="310"/>
      <c r="I12" s="310"/>
      <c r="J12" s="310"/>
      <c r="K12" s="310"/>
    </row>
    <row r="13" spans="2:13" x14ac:dyDescent="0.25">
      <c r="B13" s="310"/>
      <c r="C13" s="310"/>
      <c r="D13" s="310"/>
      <c r="E13" s="310"/>
      <c r="F13" s="310"/>
      <c r="G13" s="310"/>
      <c r="H13" s="310"/>
      <c r="I13" s="310"/>
      <c r="J13" s="310"/>
      <c r="K13" s="310"/>
    </row>
    <row r="14" spans="2:13" x14ac:dyDescent="0.25">
      <c r="B14" s="310"/>
      <c r="C14" s="310"/>
      <c r="D14" s="310"/>
      <c r="E14" s="310"/>
      <c r="F14" s="310"/>
      <c r="G14" s="310"/>
      <c r="H14" s="310"/>
      <c r="I14" s="310"/>
      <c r="J14" s="310"/>
      <c r="K14" s="310"/>
    </row>
    <row r="15" spans="2:13" x14ac:dyDescent="0.25">
      <c r="B15" s="310"/>
      <c r="C15" s="310"/>
      <c r="D15" s="310"/>
      <c r="E15" s="310"/>
      <c r="F15" s="310"/>
      <c r="G15" s="310"/>
      <c r="H15" s="310"/>
      <c r="I15" s="310"/>
      <c r="J15" s="310"/>
      <c r="K15" s="310"/>
    </row>
    <row r="16" spans="2:13" x14ac:dyDescent="0.25">
      <c r="B16" s="310"/>
      <c r="C16" s="310"/>
      <c r="D16" s="310"/>
      <c r="E16" s="310"/>
      <c r="F16" s="310"/>
      <c r="G16" s="310"/>
      <c r="H16" s="310"/>
      <c r="I16" s="310"/>
      <c r="J16" s="310"/>
      <c r="K16" s="310"/>
    </row>
    <row r="17" spans="2:13" x14ac:dyDescent="0.25">
      <c r="B17" s="310"/>
      <c r="C17" s="310"/>
      <c r="D17" s="310"/>
      <c r="E17" s="310"/>
      <c r="F17" s="310"/>
      <c r="G17" s="310"/>
      <c r="H17" s="310"/>
      <c r="I17" s="310"/>
      <c r="J17" s="310"/>
      <c r="K17" s="310"/>
    </row>
    <row r="18" spans="2:13" x14ac:dyDescent="0.25">
      <c r="B18" s="310"/>
      <c r="C18" s="310"/>
      <c r="D18" s="310"/>
      <c r="E18" s="310"/>
      <c r="F18" s="310"/>
      <c r="G18" s="310"/>
      <c r="H18" s="310"/>
      <c r="I18" s="310"/>
      <c r="J18" s="310"/>
      <c r="K18" s="310"/>
    </row>
    <row r="19" spans="2:13" x14ac:dyDescent="0.25">
      <c r="B19" s="310"/>
      <c r="C19" s="310"/>
      <c r="D19" s="310"/>
      <c r="E19" s="310"/>
      <c r="F19" s="310"/>
      <c r="G19" s="310"/>
      <c r="H19" s="310"/>
      <c r="I19" s="310"/>
      <c r="J19" s="310"/>
      <c r="K19" s="310"/>
    </row>
    <row r="20" spans="2:13" x14ac:dyDescent="0.25">
      <c r="B20" s="310"/>
      <c r="C20" s="310"/>
      <c r="D20" s="310"/>
      <c r="E20" s="310"/>
      <c r="F20" s="310"/>
      <c r="G20" s="310"/>
      <c r="H20" s="310"/>
      <c r="I20" s="310"/>
      <c r="J20" s="310"/>
      <c r="K20" s="310"/>
    </row>
    <row r="21" spans="2:13" x14ac:dyDescent="0.25">
      <c r="B21" s="310"/>
      <c r="C21" s="310"/>
      <c r="D21" s="310"/>
      <c r="E21" s="310"/>
      <c r="F21" s="310"/>
      <c r="G21" s="310"/>
      <c r="H21" s="310"/>
      <c r="I21" s="310"/>
      <c r="J21" s="310"/>
      <c r="K21" s="310"/>
    </row>
    <row r="22" spans="2:13" x14ac:dyDescent="0.25">
      <c r="B22" s="310"/>
      <c r="C22" s="310"/>
      <c r="D22" s="310"/>
      <c r="E22" s="310"/>
      <c r="F22" s="310"/>
      <c r="G22" s="310"/>
      <c r="H22" s="310"/>
      <c r="I22" s="310"/>
      <c r="J22" s="310"/>
      <c r="K22" s="310"/>
    </row>
    <row r="23" spans="2:13" x14ac:dyDescent="0.25">
      <c r="B23" s="310"/>
      <c r="C23" s="310"/>
      <c r="D23" s="310"/>
      <c r="E23" s="310"/>
      <c r="F23" s="310"/>
      <c r="G23" s="310"/>
      <c r="H23" s="310"/>
      <c r="I23" s="310"/>
      <c r="J23" s="310"/>
      <c r="K23" s="310"/>
    </row>
    <row r="24" spans="2:13" x14ac:dyDescent="0.25">
      <c r="B24" s="310"/>
      <c r="C24" s="310"/>
      <c r="D24" s="310"/>
      <c r="E24" s="310"/>
      <c r="F24" s="310"/>
      <c r="G24" s="310"/>
      <c r="H24" s="310"/>
      <c r="I24" s="310"/>
      <c r="J24" s="310"/>
      <c r="K24" s="310"/>
    </row>
    <row r="25" spans="2:13" x14ac:dyDescent="0.25">
      <c r="B25" s="310"/>
      <c r="C25" s="310"/>
      <c r="D25" s="310"/>
      <c r="E25" s="310"/>
      <c r="F25" s="310"/>
      <c r="G25" s="310"/>
      <c r="H25" s="310"/>
      <c r="I25" s="310"/>
      <c r="J25" s="310"/>
      <c r="K25" s="310"/>
    </row>
    <row r="26" spans="2:13" x14ac:dyDescent="0.25">
      <c r="B26" s="310"/>
      <c r="C26" s="310"/>
      <c r="D26" s="310"/>
      <c r="E26" s="310"/>
      <c r="F26" s="310"/>
      <c r="G26" s="310"/>
      <c r="H26" s="310"/>
      <c r="I26" s="310"/>
      <c r="J26" s="310"/>
      <c r="K26" s="310"/>
    </row>
    <row r="27" spans="2:13" x14ac:dyDescent="0.25">
      <c r="B27" s="310"/>
      <c r="C27" s="310"/>
      <c r="D27" s="310"/>
      <c r="E27" s="310"/>
      <c r="F27" s="310"/>
      <c r="G27" s="310"/>
      <c r="H27" s="310"/>
      <c r="I27" s="310"/>
      <c r="J27" s="310"/>
      <c r="K27" s="310"/>
      <c r="L27" s="61"/>
      <c r="M27" s="61"/>
    </row>
    <row r="28" spans="2:13" x14ac:dyDescent="0.25">
      <c r="B28" s="310"/>
      <c r="C28" s="310"/>
      <c r="D28" s="310"/>
      <c r="E28" s="310"/>
      <c r="F28" s="310"/>
      <c r="G28" s="310"/>
      <c r="H28" s="310"/>
      <c r="I28" s="310"/>
      <c r="J28" s="310"/>
      <c r="K28" s="310"/>
      <c r="L28" s="61"/>
    </row>
  </sheetData>
  <sheetProtection algorithmName="SHA-512" hashValue="o3mENIy1JRss9bTixwnmLrMp7tEUItNZoZNoFBq0H+9Upkipc93kji90C0oEe03AIudXdpHCe6BgGTkhfGA1Vw==" saltValue="AlBk3Drk+1EJ/eHTz6vFNw==" spinCount="100000" sheet="1" selectLockedCells="1" selectUnlockedCells="1"/>
  <mergeCells count="2">
    <mergeCell ref="B9:K28"/>
    <mergeCell ref="B2:K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Introduction</vt:lpstr>
      <vt:lpstr>Analysis table</vt:lpstr>
      <vt:lpstr>Glossary and explanatory notes</vt:lpstr>
      <vt:lpstr>Pivot tables</vt:lpstr>
      <vt:lpstr>DASHBOARD</vt:lpstr>
      <vt:lpstr>Review quarters</vt:lpstr>
      <vt:lpstr>Data validation</vt:lpstr>
      <vt:lpstr>Copyright information</vt:lpstr>
      <vt:lpstr>Down</vt:lpstr>
      <vt:lpstr>N</vt:lpstr>
      <vt:lpstr>None</vt:lpstr>
      <vt:lpstr>None1</vt:lpstr>
      <vt:lpstr>DASHBOARD!Print_Area</vt:lpstr>
      <vt:lpstr>Up</vt:lpstr>
      <vt:lpstr>Y</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 Schuil</dc:creator>
  <cp:lastModifiedBy>Martin Smolka</cp:lastModifiedBy>
  <cp:lastPrinted>2017-12-11T01:32:49Z</cp:lastPrinted>
  <dcterms:created xsi:type="dcterms:W3CDTF">2017-07-28T04:01:35Z</dcterms:created>
  <dcterms:modified xsi:type="dcterms:W3CDTF">2025-11-26T22:28:06Z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cb1ad429-e51f-433a-bb63-ec2e462336b1_Enabled">
    <vt:lpwstr>true</vt:lpwstr>
  </property>
  <property fmtid="{D5CDD505-2E9C-101B-9397-08002B2CF9AE}" pid="4" name="MSIP_Label_cb1ad429-e51f-433a-bb63-ec2e462336b1_SetDate">
    <vt:lpwstr>2024-10-16T01:34:54Z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ff3eae2f-5fc9-4611-82b8-a40e4fe3d1d3</vt:lpwstr>
  </property>
  <property fmtid="{D5CDD505-2E9C-101B-9397-08002B2CF9AE}" pid="9" name="MSIP_Label_cb1ad429-e51f-433a-bb63-ec2e462336b1_ContentBits">
    <vt:lpwstr>0</vt:lpwstr>
  </property>
</Properties>
</file>