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hidePivotFieldList="1" defaultThemeVersion="124226"/>
  <mc:AlternateContent xmlns:mc="http://schemas.openxmlformats.org/markup-compatibility/2006">
    <mc:Choice Requires="x15">
      <x15ac:absPath xmlns:x15ac="http://schemas.microsoft.com/office/spreadsheetml/2010/11/ac" url="P:\WorkInProgress\Luke's Pubs\Publications\_Stats\A&amp;T_Sept2022\Upload\"/>
    </mc:Choice>
  </mc:AlternateContent>
  <xr:revisionPtr revIDLastSave="0" documentId="8_{222E2E92-2C10-4844-9506-9C4A7B83D8DD}" xr6:coauthVersionLast="47" xr6:coauthVersionMax="47" xr10:uidLastSave="{00000000-0000-0000-0000-000000000000}"/>
  <workbookProtection workbookAlgorithmName="SHA-512" workbookHashValue="SP9L4mlcqf+jNGgP/EERj4Pmx8NQluSAaF3pk3HycMGOhKT0ciskFQRB50FNAszlMscstJz13tpRtPHdDx9VaA==" workbookSaltValue="aWTAGezT6GqCDsedxfzM/A==" workbookSpinCount="100000" lockStructure="1"/>
  <bookViews>
    <workbookView showVerticalScroll="0" xWindow="825" yWindow="1710" windowWidth="26370" windowHeight="13890" xr2:uid="{00000000-000D-0000-FFFF-FFFF00000000}"/>
  </bookViews>
  <sheets>
    <sheet name="Introduction" sheetId="16" r:id="rId1"/>
    <sheet name="Analysis table" sheetId="3" state="hidden" r:id="rId2"/>
    <sheet name="Glossary and explanatory notes" sheetId="17" r:id="rId3"/>
    <sheet name="Pivot tables" sheetId="14" state="hidden" r:id="rId4"/>
    <sheet name="DASHBOARD" sheetId="10" r:id="rId5"/>
    <sheet name="Summary table" sheetId="4" r:id="rId6"/>
    <sheet name="Review quarters" sheetId="7" r:id="rId7"/>
    <sheet name="Data validation" sheetId="6" state="hidden" r:id="rId8"/>
    <sheet name="Copyright information" sheetId="18" r:id="rId9"/>
  </sheets>
  <definedNames>
    <definedName name="_AMO_ContentDefinition_295476121" hidden="1">"'Partitions:13'"</definedName>
    <definedName name="_AMO_ContentDefinition_295476121.0" hidden="1">"'&lt;ContentDefinition name=""Q:\working\collections\aat-apprentice-and-trainee\Estimates Review\analysis.sas7bdat"" rsid=""295476121"" type=""DataSet"" format=""ReportXml"" imgfmt=""ActiveX"" created=""07/28/2017 15:09:22"" modifed=""01/17/2023 10:43:4'"</definedName>
    <definedName name="_AMO_ContentDefinition_295476121.1" hidden="1">"'2"" user=""Brian Harvey"" apply=""False"" css=""C:\Program Files (x86)\SASHome\x86\SASAddinforMicrosoftOffice\7.1\Styles\AMODefault.css"" range=""Q__working_aat_apprentice_and_tr_3"" auto=""False"" xTime=""00:00:00"" rTime=""00:00:02.0663962"" bgne'"</definedName>
    <definedName name="_AMO_ContentDefinition_295476121.10" hidden="1">"'orking\collections\aat-apprentice-and-trainee\Estimates Review\analysis.sas7bdat&amp;quot; /&amp;gt;"" /&gt;_x000D_
  &lt;param n=""ExcelTableColumnCount"" v=""16"" /&gt;_x000D_
  &lt;param n=""ExcelTableRowCount"" v=""288"" /&gt;_x000D_
  &lt;param n=""DataRowCount"" v=""288"" /&gt;_x000D_
  &lt;param n'"</definedName>
    <definedName name="_AMO_ContentDefinition_295476121.11" hidden="1">"'=""DataColCount"" v=""15"" /&gt;_x000D_
  &lt;param n=""ObsColumn"" v=""true"" /&gt;_x000D_
  &lt;param n=""ExcelFormattingHash"" v=""-205138323"" /&gt;_x000D_
  &lt;param n=""ExcelFormatting"" v=""Automatic"" /&gt;_x000D_
  &lt;ExcelXMLOptions AdjColWidths=""True"" RowOpt=""InsertCells"" ColOpt='"</definedName>
    <definedName name="_AMO_ContentDefinition_295476121.12" hidden="1">"'""InsertCells"" /&gt;_x000D_
&lt;/ContentDefinition&gt;'"</definedName>
    <definedName name="_AMO_ContentDefinition_295476121.2" hidden="1">"'w=""False"" nFmt=""False"" grphSet=""True"" imgY=""0"" imgX=""0"" redirect=""False""&gt;_x000D_
  &lt;files /&gt;_x000D_
  &lt;parents /&gt;_x000D_
  &lt;children /&gt;_x000D_
  &lt;param n=""AMO_Version"" v=""7.1"" /&gt;_x000D_
  &lt;param n=""DisplayName"" v=""Q:\working\aat-apprentice-and-trainee\Estimates '"</definedName>
    <definedName name="_AMO_ContentDefinition_295476121.3" hidden="1">"'Review\analysis.sas7bdat"" /&gt;_x000D_
  &lt;param n=""DisplayType"" v=""Data Set"" /&gt;_x000D_
  &lt;param n=""DataSourceType"" v=""SAS DATASET"" /&gt;_x000D_
  &lt;param n=""SASFilter"" v="""" /&gt;_x000D_
  &lt;param n=""MoreSheetsForRows"" v=""True"" /&gt;_x000D_
  &lt;param n=""PageSize"" v=""500"" /&gt;_x000D_'"</definedName>
    <definedName name="_AMO_ContentDefinition_295476121.4" hidden="1">"'
  &lt;param n=""ShowRowNumbers"" v=""True"" /&gt;_x000D_
  &lt;param n=""ShowInfoInSheet"" v=""False"" /&gt;_x000D_
  &lt;param n=""CredKey"" v=""Q:\working\collections\aat-apprentice-and-trainee\Estimates Review\analysis.sas7bdat"" /&gt;_x000D_
  &lt;param n=""ClassName"" v=""SAS.OfficeA'"</definedName>
    <definedName name="_AMO_ContentDefinition_295476121.5" hidden="1">"'ddin.DataViewItem"" /&gt;_x000D_
  &lt;param n=""ServerName"" v="""" /&gt;_x000D_
  &lt;param n=""DataSource"" v=""&amp;lt;SasDataSource Version=&amp;quot;4.2&amp;quot; Type=&amp;quot;SAS.Servers.Dataset&amp;quot; FilterDS=&amp;quot;&amp;amp;lt;?xml version=&amp;amp;quot;1.0&amp;amp;quot; encoding=&amp;amp;quot;ut'"</definedName>
    <definedName name="_AMO_ContentDefinition_295476121.6" hidden="1">"'f-16&amp;amp;quot;?&amp;amp;gt;&amp;amp;lt;FilterTree&amp;amp;gt;&amp;amp;lt;TreeRoot /&amp;amp;gt;&amp;amp;lt;/FilterTree&amp;amp;gt;&amp;quot; ColSelFlg=&amp;quot;0&amp;quot; DNA=&amp;quot;&amp;amp;lt;DNA&amp;amp;gt;&amp;amp;#xD;&amp;amp;#xA;  &amp;amp;lt;Type&amp;amp;gt;LocalFile&amp;amp;lt;/Type&amp;amp;gt;&amp;amp;#xD;&amp;amp;#xA; '"</definedName>
    <definedName name="_AMO_ContentDefinition_295476121.7" hidden="1">"' &amp;amp;lt;Name&amp;amp;gt;analysis.sas7bdat&amp;amp;lt;/Name&amp;amp;gt;&amp;amp;#xD;&amp;amp;#xA;  &amp;amp;lt;Version&amp;amp;gt;1&amp;amp;lt;/Version&amp;amp;gt;&amp;amp;#xD;&amp;amp;#xA;  &amp;amp;lt;Assembly /&amp;amp;gt;&amp;amp;#xD;&amp;amp;#xA;  &amp;amp;lt;Factory /&amp;amp;gt;&amp;amp;#xD;&amp;amp;#xA;  &amp;amp;lt;Paren'"</definedName>
    <definedName name="_AMO_ContentDefinition_295476121.8" hidden="1">"'tName&amp;amp;gt;Estimates Review&amp;amp;lt;/ParentName&amp;amp;gt;&amp;amp;#xD;&amp;amp;#xA;  &amp;amp;lt;Delimiter&amp;amp;gt;\&amp;amp;lt;/Delimiter&amp;amp;gt;&amp;amp;#xD;&amp;amp;#xA;  &amp;amp;lt;FullPath&amp;amp;gt;Q:\working\collections\aat-apprentice-and-trainee\Estimates Review\analysis.sas'"</definedName>
    <definedName name="_AMO_ContentDefinition_295476121.9" hidden="1">"'7bdat&amp;amp;lt;/FullPath&amp;amp;gt;&amp;amp;#xD;&amp;amp;#xA;  &amp;amp;lt;RelativePath&amp;amp;gt;Q:\working\collections\aat-apprentice-and-trainee\Estimates Review\analysis.sas7bdat&amp;amp;lt;/RelativePath&amp;amp;gt;&amp;amp;#xD;&amp;amp;#xA;&amp;amp;lt;/DNA&amp;amp;gt;&amp;quot; Name=&amp;quot;Q:\w'"</definedName>
    <definedName name="_AMO_ContentLocation_295476121__A1" hidden="1">"'Partitions:2'"</definedName>
    <definedName name="_AMO_ContentLocation_295476121__A1.0" hidden="1">"'&lt;ContentLocation path=""A1"" rsid=""295476121"" tag="""" fid=""0""&gt;_x000D_
  &lt;param n=""_NumRows"" v=""289"" /&gt;_x000D_
  &lt;param n=""_NumCols"" v=""16"" /&gt;_x000D_
  &lt;param n=""SASDataState"" v=""none"" /&gt;_x000D_
  &lt;param n=""SASDataStart"" v=""1"" /&gt;_x000D_
  &lt;param n=""SASDataE'"</definedName>
    <definedName name="_AMO_ContentLocation_295476121__A1.1" hidden="1">"'nd"" v=""288"" /&gt;_x000D_
&lt;/ContentLocation&gt;'"</definedName>
    <definedName name="_AMO_RefreshMultipleList" hidden="1">"'&lt;Items&gt;_x000D_
  &lt;Item Id=""295476121"" Checked=""True"" /&gt;_x000D_
&lt;/Items&gt;'"</definedName>
    <definedName name="_AMO_SingleObject_295476121__A1" hidden="1">'Analysis table'!$B$1:$Q$289</definedName>
    <definedName name="_AMO_XmlVersion" hidden="1">"'1'"</definedName>
    <definedName name="_xlnm._FilterDatabase" localSheetId="1" hidden="1">'Analysis table'!$A$1:$A$418</definedName>
    <definedName name="Arrow1">INDIRECT('Data validation'!$R$2)</definedName>
    <definedName name="Arrow2">INDIRECT('Data validation'!$R$3)</definedName>
    <definedName name="Arrow3">INDIRECT('Data validation'!$R$4)</definedName>
    <definedName name="Arrow4">INDIRECT('Data validation'!$R$5)</definedName>
    <definedName name="Down">'Data validation'!$S$1</definedName>
    <definedName name="N">'Data validation'!$O$1</definedName>
    <definedName name="None">'Data validation'!$T$1</definedName>
    <definedName name="None1">'Data validation'!$P$1</definedName>
    <definedName name="Picture1">INDIRECT('Data validation'!$N$2)</definedName>
    <definedName name="Picture2">INDIRECT('Data validation'!$N$3)</definedName>
    <definedName name="Picture3">INDIRECT('Data validation'!$N$4)</definedName>
    <definedName name="Picture4">INDIRECT('Data validation'!$N$5)</definedName>
    <definedName name="_xlnm.Print_Area" localSheetId="4">DASHBOARD!$B$2:$AJ$48</definedName>
    <definedName name="Slicer_contract">#N/A</definedName>
    <definedName name="Slicer_review_quarter">#N/A</definedName>
    <definedName name="Slicer_State">#N/A</definedName>
    <definedName name="Slicer_type">#N/A</definedName>
    <definedName name="Up">'Data validation'!$R$1</definedName>
    <definedName name="Y">'Data validation'!$N$1</definedName>
  </definedNames>
  <calcPr calcId="191029"/>
  <pivotCaches>
    <pivotCache cacheId="0" r:id="rId10"/>
  </pivotCaches>
  <extLst>
    <ext xmlns:x14="http://schemas.microsoft.com/office/spreadsheetml/2009/9/main" uri="{BBE1A952-AA13-448e-AADC-164F8A28A991}">
      <x14:slicerCaches>
        <x14:slicerCache r:id="rId11"/>
        <x14:slicerCache r:id="rId12"/>
        <x14:slicerCache r:id="rId13"/>
        <x14:slicerCache r:id="rId14"/>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3" l="1"/>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R2" i="3"/>
  <c r="A290" i="3" l="1"/>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L25" i="14" l="1"/>
  <c r="M25" i="14"/>
  <c r="N25" i="14"/>
  <c r="L26" i="14"/>
  <c r="M26" i="14"/>
  <c r="N26" i="14"/>
  <c r="L27" i="14"/>
  <c r="M27" i="14"/>
  <c r="N27" i="14"/>
  <c r="M24" i="14"/>
  <c r="N24" i="14"/>
  <c r="L24" i="14"/>
  <c r="K25" i="14"/>
  <c r="K26" i="14"/>
  <c r="K27" i="14"/>
  <c r="AE23" i="10"/>
  <c r="AE19" i="10"/>
  <c r="AE17" i="10"/>
  <c r="AE21" i="10"/>
  <c r="K24" i="14"/>
  <c r="Q25" i="14"/>
  <c r="R25" i="14"/>
  <c r="S25" i="14"/>
  <c r="Q26" i="14"/>
  <c r="R26" i="14"/>
  <c r="S26" i="14"/>
  <c r="Q27" i="14"/>
  <c r="R27" i="14"/>
  <c r="S27" i="14"/>
  <c r="R24" i="14"/>
  <c r="Q24" i="14"/>
  <c r="L23" i="14" l="1"/>
  <c r="M23" i="14"/>
  <c r="N23" i="14"/>
  <c r="K23" i="14"/>
  <c r="F24" i="14"/>
  <c r="G24" i="14"/>
  <c r="H24" i="14"/>
  <c r="I24" i="14"/>
  <c r="F25" i="14"/>
  <c r="G25" i="14"/>
  <c r="H25" i="14"/>
  <c r="I25" i="14"/>
  <c r="F26" i="14"/>
  <c r="G26" i="14"/>
  <c r="H26" i="14"/>
  <c r="I26" i="14"/>
  <c r="F27" i="14"/>
  <c r="G27" i="14"/>
  <c r="H27" i="14"/>
  <c r="I27" i="14"/>
  <c r="G23" i="14"/>
  <c r="H23" i="14"/>
  <c r="I23" i="14"/>
  <c r="F23" i="14"/>
  <c r="A24" i="14"/>
  <c r="B24" i="14"/>
  <c r="C24" i="14"/>
  <c r="D24" i="14"/>
  <c r="A25" i="14"/>
  <c r="B25" i="14"/>
  <c r="C25" i="14"/>
  <c r="D25" i="14"/>
  <c r="A26" i="14"/>
  <c r="B26" i="14"/>
  <c r="C26" i="14"/>
  <c r="D26" i="14"/>
  <c r="A27" i="14"/>
  <c r="B27" i="14"/>
  <c r="C27" i="14"/>
  <c r="D27" i="14"/>
  <c r="B23" i="14"/>
  <c r="C23" i="14"/>
  <c r="D23" i="14"/>
  <c r="A23" i="14"/>
  <c r="G34" i="4" l="1"/>
  <c r="H34" i="4"/>
  <c r="I34" i="4"/>
  <c r="J34" i="4"/>
  <c r="K34" i="4"/>
  <c r="G35" i="4"/>
  <c r="H35" i="4"/>
  <c r="I35" i="4"/>
  <c r="J35" i="4"/>
  <c r="K35" i="4"/>
  <c r="G36" i="4"/>
  <c r="H36" i="4"/>
  <c r="I36" i="4"/>
  <c r="J36" i="4"/>
  <c r="K36" i="4"/>
  <c r="K33" i="4"/>
  <c r="J33" i="4"/>
  <c r="I33" i="4"/>
  <c r="H33" i="4"/>
  <c r="A362" i="3" l="1"/>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H24" i="10" l="1"/>
  <c r="H21" i="10"/>
  <c r="H18" i="10"/>
  <c r="H15" i="10"/>
  <c r="N12" i="6"/>
  <c r="M12" i="6"/>
  <c r="G33" i="4"/>
  <c r="M16" i="6" l="1"/>
  <c r="Q3" i="6" l="1"/>
  <c r="R3" i="6" s="1"/>
  <c r="Q4" i="6"/>
  <c r="R4" i="6" s="1"/>
  <c r="Q5" i="6"/>
  <c r="R5" i="6" s="1"/>
  <c r="Q2" i="6"/>
  <c r="R2" i="6" s="1"/>
  <c r="AD23" i="10"/>
  <c r="AC23" i="10"/>
  <c r="AB23" i="10"/>
  <c r="AD21" i="10"/>
  <c r="AC21" i="10"/>
  <c r="AB21" i="10"/>
  <c r="AD19" i="10"/>
  <c r="AC19" i="10"/>
  <c r="AB19" i="10"/>
  <c r="AF19" i="10" l="1"/>
  <c r="AF21" i="10"/>
  <c r="AF23" i="10"/>
  <c r="N9" i="4" l="1"/>
  <c r="M4" i="6" s="1"/>
  <c r="N13" i="4"/>
  <c r="N11" i="4"/>
  <c r="N8" i="4"/>
  <c r="M3" i="6" s="1"/>
  <c r="N10" i="4"/>
  <c r="M5" i="6" s="1"/>
  <c r="N14" i="4"/>
  <c r="N7" i="4"/>
  <c r="M2" i="6" s="1"/>
  <c r="N2" i="6" s="1"/>
  <c r="N12" i="4"/>
  <c r="O30" i="4"/>
  <c r="O17" i="4"/>
  <c r="O11" i="4"/>
  <c r="O15" i="4"/>
  <c r="O19" i="4"/>
  <c r="O23" i="4"/>
  <c r="O27" i="4"/>
  <c r="O12" i="4"/>
  <c r="O16" i="4"/>
  <c r="O20" i="4"/>
  <c r="O24" i="4"/>
  <c r="O28" i="4"/>
  <c r="O13" i="4"/>
  <c r="O21" i="4"/>
  <c r="O25" i="4"/>
  <c r="O29" i="4"/>
  <c r="O10" i="4"/>
  <c r="O14" i="4"/>
  <c r="O18" i="4"/>
  <c r="O22" i="4"/>
  <c r="O26" i="4"/>
  <c r="AG9" i="6"/>
  <c r="AF9" i="6"/>
  <c r="AE9" i="6"/>
  <c r="AD9" i="6"/>
  <c r="AC9" i="6"/>
  <c r="AB9" i="6"/>
  <c r="AA9" i="6"/>
  <c r="Z9" i="6"/>
  <c r="Y9" i="6"/>
  <c r="AG7" i="6"/>
  <c r="AF7" i="6"/>
  <c r="AE7" i="6"/>
  <c r="AD7" i="6"/>
  <c r="AC7" i="6"/>
  <c r="AB7" i="6"/>
  <c r="AA7" i="6"/>
  <c r="Z7" i="6"/>
  <c r="Y7" i="6"/>
  <c r="AG5" i="6"/>
  <c r="AF5" i="6"/>
  <c r="AE5" i="6"/>
  <c r="AD5" i="6"/>
  <c r="AC5" i="6"/>
  <c r="AB5" i="6"/>
  <c r="AA5" i="6"/>
  <c r="Z5" i="6"/>
  <c r="Y5" i="6"/>
  <c r="W9" i="6"/>
  <c r="X9" i="6"/>
  <c r="V9" i="6"/>
  <c r="W7" i="6"/>
  <c r="X7" i="6"/>
  <c r="V7" i="6"/>
  <c r="W5" i="6"/>
  <c r="X5" i="6"/>
  <c r="V5" i="6"/>
  <c r="N3" i="6" l="1"/>
  <c r="N5" i="6"/>
  <c r="N4" i="6"/>
  <c r="AD17" i="10"/>
  <c r="AC17" i="10" l="1"/>
  <c r="AF17" i="10" s="1"/>
  <c r="AB17" i="10"/>
  <c r="P25" i="14" l="1"/>
  <c r="P26" i="14"/>
  <c r="P27" i="14"/>
  <c r="S24" i="14"/>
  <c r="P24" i="14"/>
  <c r="G26" i="7" l="1"/>
  <c r="F26" i="7"/>
  <c r="E26" i="7"/>
  <c r="D26" i="7"/>
  <c r="O26" i="7"/>
  <c r="N26" i="7"/>
  <c r="M26" i="7"/>
  <c r="L26" i="7"/>
  <c r="K26" i="7"/>
  <c r="J26" i="7"/>
  <c r="I26" i="7"/>
  <c r="H26" i="7"/>
  <c r="K16" i="7"/>
  <c r="J16" i="7"/>
  <c r="I16" i="7"/>
  <c r="H16" i="7"/>
  <c r="G16" i="7"/>
  <c r="F16" i="7"/>
  <c r="E16" i="7"/>
  <c r="D16" i="7"/>
  <c r="J5" i="6"/>
  <c r="J6" i="6" s="1"/>
  <c r="J7" i="6" s="1"/>
  <c r="J8" i="6" s="1"/>
  <c r="J9" i="6" s="1"/>
  <c r="J10" i="6" s="1"/>
  <c r="J11" i="6" s="1"/>
  <c r="J12" i="6" s="1"/>
  <c r="J13" i="6" s="1"/>
  <c r="J14" i="6" s="1"/>
  <c r="J15" i="6" s="1"/>
  <c r="J16" i="6" s="1"/>
  <c r="J17" i="6" s="1"/>
  <c r="J18" i="6" s="1"/>
  <c r="J19" i="6" s="1"/>
  <c r="J20" i="6" s="1"/>
  <c r="J21" i="6" s="1"/>
  <c r="J22" i="6" s="1"/>
  <c r="J23" i="6" s="1"/>
  <c r="J24" i="6" s="1"/>
  <c r="J25" i="6" s="1"/>
  <c r="J26" i="6" s="1"/>
  <c r="J27" i="6" s="1"/>
  <c r="J28" i="6" s="1"/>
  <c r="J29" i="6" s="1"/>
  <c r="J30" i="6" s="1"/>
  <c r="J31" i="6" s="1"/>
  <c r="J32" i="6" s="1"/>
  <c r="J33" i="6" s="1"/>
  <c r="J34" i="6" s="1"/>
  <c r="J35" i="6" s="1"/>
  <c r="J36" i="6" s="1"/>
  <c r="J37" i="6" s="1"/>
  <c r="J38" i="6" s="1"/>
  <c r="J39" i="6" s="1"/>
  <c r="J40" i="6" s="1"/>
  <c r="J41" i="6" s="1"/>
  <c r="J42" i="6" s="1"/>
  <c r="J43" i="6" s="1"/>
  <c r="J44" i="6" s="1"/>
  <c r="J45" i="6" s="1"/>
  <c r="J46" i="6" s="1"/>
  <c r="J47" i="6" s="1"/>
  <c r="J48" i="6" s="1"/>
  <c r="J49" i="6" s="1"/>
  <c r="J50" i="6" s="1"/>
  <c r="J51" i="6" s="1"/>
  <c r="J52" i="6" s="1"/>
  <c r="J53" i="6" s="1"/>
  <c r="J54" i="6" s="1"/>
  <c r="J55" i="6" s="1"/>
  <c r="J56" i="6" s="1"/>
  <c r="J57" i="6" s="1"/>
  <c r="J58" i="6" s="1"/>
  <c r="J59" i="6" s="1"/>
  <c r="J60" i="6" s="1"/>
  <c r="J61" i="6" s="1"/>
  <c r="J62" i="6" s="1"/>
  <c r="J63" i="6" s="1"/>
  <c r="J64" i="6" s="1"/>
  <c r="J65" i="6" s="1"/>
  <c r="J66" i="6" s="1"/>
  <c r="J67" i="6" s="1"/>
  <c r="J68" i="6" s="1"/>
  <c r="J69" i="6" s="1"/>
  <c r="J70" i="6" s="1"/>
  <c r="J71" i="6" s="1"/>
  <c r="J72" i="6" s="1"/>
  <c r="J73" i="6" s="1"/>
  <c r="I5" i="6"/>
  <c r="K5" i="6" s="1"/>
  <c r="G5" i="6"/>
  <c r="G6" i="6" s="1"/>
  <c r="G7" i="6" s="1"/>
  <c r="G8" i="6" s="1"/>
  <c r="G9" i="6" s="1"/>
  <c r="G10" i="6" s="1"/>
  <c r="G11" i="6" s="1"/>
  <c r="G12" i="6" s="1"/>
  <c r="G13" i="6" s="1"/>
  <c r="G14" i="6" s="1"/>
  <c r="G15" i="6" s="1"/>
  <c r="G16" i="6" s="1"/>
  <c r="G17" i="6" s="1"/>
  <c r="G18" i="6" s="1"/>
  <c r="G19" i="6" s="1"/>
  <c r="G20" i="6" s="1"/>
  <c r="G21" i="6" s="1"/>
  <c r="G22" i="6" s="1"/>
  <c r="G23" i="6" s="1"/>
  <c r="G24" i="6" s="1"/>
  <c r="G25" i="6" s="1"/>
  <c r="G26" i="6" s="1"/>
  <c r="G27" i="6" s="1"/>
  <c r="G28" i="6" s="1"/>
  <c r="G29" i="6" s="1"/>
  <c r="G30" i="6" s="1"/>
  <c r="G31" i="6" s="1"/>
  <c r="G32" i="6" s="1"/>
  <c r="G33" i="6" s="1"/>
  <c r="G34" i="6" s="1"/>
  <c r="G35" i="6" s="1"/>
  <c r="G36" i="6" s="1"/>
  <c r="G37" i="6" s="1"/>
  <c r="G38" i="6" s="1"/>
  <c r="G39" i="6" s="1"/>
  <c r="G40" i="6" s="1"/>
  <c r="G41" i="6" s="1"/>
  <c r="G42" i="6" s="1"/>
  <c r="G43" i="6" s="1"/>
  <c r="G44" i="6" s="1"/>
  <c r="G45" i="6" s="1"/>
  <c r="G46" i="6" s="1"/>
  <c r="G47" i="6" s="1"/>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F5" i="6"/>
  <c r="F6" i="6" s="1"/>
  <c r="H6" i="6" s="1"/>
  <c r="I6" i="6" l="1"/>
  <c r="H5" i="6"/>
  <c r="F7" i="6"/>
  <c r="K6" i="6" l="1"/>
  <c r="I7" i="6"/>
  <c r="H7" i="6"/>
  <c r="F8" i="6"/>
  <c r="K7" i="6" l="1"/>
  <c r="I8" i="6"/>
  <c r="H8" i="6"/>
  <c r="F9" i="6"/>
  <c r="I9" i="6" l="1"/>
  <c r="K8" i="6"/>
  <c r="H9" i="6"/>
  <c r="F10" i="6"/>
  <c r="K9" i="6" l="1"/>
  <c r="I10" i="6"/>
  <c r="H10" i="6"/>
  <c r="F11" i="6"/>
  <c r="I11" i="6" l="1"/>
  <c r="K10" i="6"/>
  <c r="H11" i="6"/>
  <c r="F12" i="6"/>
  <c r="K11" i="6" l="1"/>
  <c r="I12" i="6"/>
  <c r="H12" i="6"/>
  <c r="F13" i="6"/>
  <c r="K12" i="6" l="1"/>
  <c r="I13" i="6"/>
  <c r="F14" i="6"/>
  <c r="H13" i="6"/>
  <c r="K13" i="6" l="1"/>
  <c r="I14" i="6"/>
  <c r="H14" i="6"/>
  <c r="F15" i="6"/>
  <c r="K14" i="6" l="1"/>
  <c r="I15" i="6"/>
  <c r="F16" i="6"/>
  <c r="H15" i="6"/>
  <c r="K15" i="6" l="1"/>
  <c r="I16" i="6"/>
  <c r="H16" i="6"/>
  <c r="D27" i="7" s="1"/>
  <c r="F17" i="6"/>
  <c r="I17" i="6" l="1"/>
  <c r="K16" i="6"/>
  <c r="D28" i="7" s="1"/>
  <c r="F18" i="6"/>
  <c r="H17" i="6"/>
  <c r="E27" i="7" s="1"/>
  <c r="K17" i="6" l="1"/>
  <c r="E28" i="7" s="1"/>
  <c r="C29" i="7" s="1"/>
  <c r="I18" i="6"/>
  <c r="H18" i="6"/>
  <c r="F27" i="7" s="1"/>
  <c r="F19" i="6"/>
  <c r="K18" i="6" l="1"/>
  <c r="F28" i="7" s="1"/>
  <c r="C30" i="7" s="1"/>
  <c r="I19" i="6"/>
  <c r="H19" i="6"/>
  <c r="G27" i="7" s="1"/>
  <c r="F20" i="6"/>
  <c r="I20" i="6" l="1"/>
  <c r="K19" i="6"/>
  <c r="G28" i="7" s="1"/>
  <c r="C31" i="7" s="1"/>
  <c r="H20" i="6"/>
  <c r="F21" i="6"/>
  <c r="H27" i="7" l="1"/>
  <c r="D17" i="7"/>
  <c r="I21" i="6"/>
  <c r="K20" i="6"/>
  <c r="H21" i="6"/>
  <c r="F22" i="6"/>
  <c r="E17" i="7" l="1"/>
  <c r="I27" i="7"/>
  <c r="D18" i="7"/>
  <c r="H28" i="7"/>
  <c r="C32" i="7" s="1"/>
  <c r="K21" i="6"/>
  <c r="I22" i="6"/>
  <c r="H22" i="6"/>
  <c r="F23" i="6"/>
  <c r="F17" i="7" l="1"/>
  <c r="J27" i="7"/>
  <c r="B45" i="7"/>
  <c r="B76" i="16"/>
  <c r="E18" i="7"/>
  <c r="C19" i="7" s="1"/>
  <c r="I28" i="7"/>
  <c r="K22" i="6"/>
  <c r="I23" i="6"/>
  <c r="F24" i="6"/>
  <c r="H23" i="6"/>
  <c r="K27" i="7" l="1"/>
  <c r="G17" i="7"/>
  <c r="F18" i="7"/>
  <c r="C20" i="7" s="1"/>
  <c r="J28" i="7"/>
  <c r="K23" i="6"/>
  <c r="I24" i="6"/>
  <c r="H24" i="6"/>
  <c r="F25" i="6"/>
  <c r="L27" i="7" l="1"/>
  <c r="H17" i="7"/>
  <c r="K28" i="7"/>
  <c r="G18" i="7"/>
  <c r="C21" i="7" s="1"/>
  <c r="K24" i="6"/>
  <c r="I25" i="6"/>
  <c r="H25" i="6"/>
  <c r="F26" i="6"/>
  <c r="H18" i="7" l="1"/>
  <c r="C22" i="7" s="1"/>
  <c r="B39" i="7" s="1"/>
  <c r="L28" i="7"/>
  <c r="I17" i="7"/>
  <c r="M27" i="7"/>
  <c r="K25" i="6"/>
  <c r="I26" i="6"/>
  <c r="H26" i="6"/>
  <c r="F27" i="6"/>
  <c r="N27" i="7" l="1"/>
  <c r="J17" i="7"/>
  <c r="M28" i="7"/>
  <c r="I18" i="7"/>
  <c r="B72" i="16"/>
  <c r="I27" i="6"/>
  <c r="K26" i="6"/>
  <c r="F28" i="6"/>
  <c r="H27" i="6"/>
  <c r="N28" i="7" l="1"/>
  <c r="J18" i="7"/>
  <c r="O27" i="7"/>
  <c r="K17" i="7"/>
  <c r="K27" i="6"/>
  <c r="I28" i="6"/>
  <c r="H28" i="6"/>
  <c r="F29" i="6"/>
  <c r="H11" i="7" l="1"/>
  <c r="K18" i="7"/>
  <c r="O28" i="7"/>
  <c r="I29" i="6"/>
  <c r="K28" i="6"/>
  <c r="H29" i="6"/>
  <c r="F30" i="6"/>
  <c r="K29" i="6" l="1"/>
  <c r="I30" i="6"/>
  <c r="H30" i="6"/>
  <c r="F31" i="6"/>
  <c r="K30" i="6" l="1"/>
  <c r="I31" i="6"/>
  <c r="F32" i="6"/>
  <c r="H31" i="6"/>
  <c r="K31" i="6" l="1"/>
  <c r="I32" i="6"/>
  <c r="H32" i="6"/>
  <c r="F33" i="6"/>
  <c r="H33" i="6" l="1"/>
  <c r="F34" i="6"/>
  <c r="I33" i="6"/>
  <c r="K32" i="6"/>
  <c r="H34" i="6" l="1"/>
  <c r="F35" i="6"/>
  <c r="K33" i="6"/>
  <c r="I34" i="6"/>
  <c r="K34" i="6" l="1"/>
  <c r="I35" i="6"/>
  <c r="H35" i="6"/>
  <c r="F36" i="6"/>
  <c r="F37" i="6" l="1"/>
  <c r="H36" i="6"/>
  <c r="K35" i="6"/>
  <c r="I36" i="6"/>
  <c r="K36" i="6" l="1"/>
  <c r="I37" i="6"/>
  <c r="H37" i="6"/>
  <c r="F38" i="6"/>
  <c r="F39" i="6" l="1"/>
  <c r="H38" i="6"/>
  <c r="I38" i="6"/>
  <c r="K37" i="6"/>
  <c r="I39" i="6" l="1"/>
  <c r="K38" i="6"/>
  <c r="H39" i="6"/>
  <c r="F40" i="6"/>
  <c r="F41" i="6" l="1"/>
  <c r="H40" i="6"/>
  <c r="K39" i="6"/>
  <c r="I40" i="6"/>
  <c r="K40" i="6" l="1"/>
  <c r="I41" i="6"/>
  <c r="H41" i="6"/>
  <c r="F42" i="6"/>
  <c r="F43" i="6" l="1"/>
  <c r="H42" i="6"/>
  <c r="K41" i="6"/>
  <c r="I42" i="6"/>
  <c r="K42" i="6" l="1"/>
  <c r="I43" i="6"/>
  <c r="H43" i="6"/>
  <c r="F44" i="6"/>
  <c r="F45" i="6" l="1"/>
  <c r="H44" i="6"/>
  <c r="K43" i="6"/>
  <c r="I44" i="6"/>
  <c r="K44" i="6" l="1"/>
  <c r="I45" i="6"/>
  <c r="F46" i="6"/>
  <c r="H45" i="6"/>
  <c r="I46" i="6" l="1"/>
  <c r="K45" i="6"/>
  <c r="H46" i="6"/>
  <c r="F47" i="6"/>
  <c r="H47" i="6" l="1"/>
  <c r="F48" i="6"/>
  <c r="K46" i="6"/>
  <c r="I47" i="6"/>
  <c r="K47" i="6" l="1"/>
  <c r="I48" i="6"/>
  <c r="F49" i="6"/>
  <c r="H48" i="6"/>
  <c r="I49" i="6" l="1"/>
  <c r="K48" i="6"/>
  <c r="H49" i="6"/>
  <c r="F50" i="6"/>
  <c r="H50" i="6" l="1"/>
  <c r="F51" i="6"/>
  <c r="K49" i="6"/>
  <c r="I50" i="6"/>
  <c r="I51" i="6" l="1"/>
  <c r="K50" i="6"/>
  <c r="H51" i="6"/>
  <c r="F52" i="6"/>
  <c r="F53" i="6" l="1"/>
  <c r="H52" i="6"/>
  <c r="K51" i="6"/>
  <c r="I52" i="6"/>
  <c r="K52" i="6" l="1"/>
  <c r="I53" i="6"/>
  <c r="H53" i="6"/>
  <c r="F54" i="6"/>
  <c r="F55" i="6" l="1"/>
  <c r="H54" i="6"/>
  <c r="I54" i="6"/>
  <c r="K53" i="6"/>
  <c r="I55" i="6" l="1"/>
  <c r="K54" i="6"/>
  <c r="F56" i="6"/>
  <c r="H55" i="6"/>
  <c r="H56" i="6" l="1"/>
  <c r="F57" i="6"/>
  <c r="K55" i="6"/>
  <c r="I56" i="6"/>
  <c r="K56" i="6" l="1"/>
  <c r="I57" i="6"/>
  <c r="H57" i="6"/>
  <c r="F58" i="6"/>
  <c r="H58" i="6" l="1"/>
  <c r="F59" i="6"/>
  <c r="K57" i="6"/>
  <c r="I58" i="6"/>
  <c r="I59" i="6" l="1"/>
  <c r="K58" i="6"/>
  <c r="H59" i="6"/>
  <c r="F60" i="6"/>
  <c r="H60" i="6" l="1"/>
  <c r="F61" i="6"/>
  <c r="K59" i="6"/>
  <c r="I60" i="6"/>
  <c r="I61" i="6" l="1"/>
  <c r="K60" i="6"/>
  <c r="F62" i="6"/>
  <c r="H61" i="6"/>
  <c r="H62" i="6" l="1"/>
  <c r="F63" i="6"/>
  <c r="K61" i="6"/>
  <c r="I62" i="6"/>
  <c r="K62" i="6" l="1"/>
  <c r="I63" i="6"/>
  <c r="H63" i="6"/>
  <c r="F64" i="6"/>
  <c r="H64" i="6" l="1"/>
  <c r="F65" i="6"/>
  <c r="K63" i="6"/>
  <c r="I64" i="6"/>
  <c r="F66" i="6" l="1"/>
  <c r="H65" i="6"/>
  <c r="I65" i="6"/>
  <c r="K64" i="6"/>
  <c r="K65" i="6" l="1"/>
  <c r="I66" i="6"/>
  <c r="H66" i="6"/>
  <c r="F67" i="6"/>
  <c r="F68" i="6" l="1"/>
  <c r="H67" i="6"/>
  <c r="K66" i="6"/>
  <c r="I67" i="6"/>
  <c r="I68" i="6" l="1"/>
  <c r="K67" i="6"/>
  <c r="H68" i="6"/>
  <c r="F69" i="6"/>
  <c r="H69" i="6" l="1"/>
  <c r="F70" i="6"/>
  <c r="I69" i="6"/>
  <c r="K68" i="6"/>
  <c r="K69" i="6" l="1"/>
  <c r="I70" i="6"/>
  <c r="H70" i="6"/>
  <c r="F71" i="6"/>
  <c r="K70" i="6" l="1"/>
  <c r="I71" i="6"/>
  <c r="H71" i="6"/>
  <c r="F72" i="6"/>
  <c r="H72" i="6" l="1"/>
  <c r="F73" i="6"/>
  <c r="H73" i="6" s="1"/>
  <c r="I72" i="6"/>
  <c r="K71" i="6"/>
  <c r="K72" i="6" l="1"/>
  <c r="I73" i="6"/>
  <c r="K7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 Harvey</author>
  </authors>
  <commentList>
    <comment ref="C1" authorId="0" shapeId="0" xr:uid="{0F783779-F64A-437B-BB86-008FE4CB97AE}">
      <text>
        <r>
          <rPr>
            <b/>
            <sz val="9"/>
            <color indexed="81"/>
            <rFont val="Tahoma"/>
            <family val="2"/>
          </rPr>
          <t>state</t>
        </r>
      </text>
    </comment>
    <comment ref="E1" authorId="0" shapeId="0" xr:uid="{3EF06056-5776-4D02-8627-027590F2B19F}">
      <text>
        <r>
          <rPr>
            <b/>
            <sz val="9"/>
            <color indexed="81"/>
            <rFont val="Tahoma"/>
            <family val="2"/>
          </rPr>
          <t>collection_quarter</t>
        </r>
      </text>
    </comment>
    <comment ref="F1" authorId="0" shapeId="0" xr:uid="{8657917E-EBE1-4807-A6F4-BC120D5616C9}">
      <text>
        <r>
          <rPr>
            <b/>
            <sz val="9"/>
            <color indexed="81"/>
            <rFont val="Tahoma"/>
            <family val="2"/>
          </rPr>
          <t>collection_number</t>
        </r>
      </text>
    </comment>
    <comment ref="M1" authorId="0" shapeId="0" xr:uid="{3161C1B8-178C-4235-8111-FE35B137342F}">
      <text>
        <r>
          <rPr>
            <b/>
            <sz val="9"/>
            <color indexed="81"/>
            <rFont val="Tahoma"/>
            <family val="2"/>
          </rPr>
          <t>counter</t>
        </r>
      </text>
    </comment>
    <comment ref="P1" authorId="0" shapeId="0" xr:uid="{0EDB57A9-E880-4B00-B5DF-FFA03FA5F01B}">
      <text>
        <r>
          <rPr>
            <b/>
            <sz val="9"/>
            <color indexed="81"/>
            <rFont val="Tahoma"/>
            <family val="2"/>
          </rPr>
          <t>counter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Nadine Schuil</author>
  </authors>
  <commentList>
    <comment ref="J2" authorId="0" shapeId="0" xr:uid="{00000000-0006-0000-0700-000001000000}">
      <text>
        <r>
          <rPr>
            <b/>
            <sz val="9"/>
            <color indexed="81"/>
            <rFont val="Tahoma"/>
            <family val="2"/>
          </rPr>
          <t>Nadine Schuil:</t>
        </r>
        <r>
          <rPr>
            <sz val="9"/>
            <color indexed="81"/>
            <rFont val="Tahoma"/>
            <family val="2"/>
          </rPr>
          <t xml:space="preserve">
</t>
        </r>
        <r>
          <rPr>
            <sz val="8"/>
            <color indexed="81"/>
            <rFont val="Tahoma"/>
            <family val="2"/>
          </rPr>
          <t>This is the figure we are interested in - the collection_quarter (the quarter up to which we are reporting)</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5" refreshedVersion="4">
    <dbPr connection="Provider=sas.LocalProvider.9.42;Data Source=_LOCAL_;Mode=Read|Share Deny None;SAS File Format=V9;Use TK Manager Search Path=False;SAS Data Set Creation Code Page=0;SAS ValidMemName Read Update=False;SAS Adjust Starting Date 1900=False" command="Q:\working\aat-apprentice-and-trainee\Estimates Review\analysis.sas7bdat" commandType="3"/>
  </connection>
  <connection id="2" xr16:uid="{00000000-0015-0000-FFFF-FFFF01000000}" name="Connection1" type="5" refreshedVersion="4">
    <dbPr connection="Provider=sas.LocalProvider.9.42;Data Source=_LOCAL_;Mode=Read|Share Deny None;SAS File Format=V9;Use TK Manager Search Path=False;SAS Data Set Creation Code Page=0;SAS ValidMemName Read Update=False;SAS Adjust Starting Date 1900=False" command="Q:\working\aat-apprentice-and-trainee\Estimates Review\analysis.sas7bdat" commandType="3"/>
  </connection>
  <connection id="3" xr16:uid="{00000000-0015-0000-FFFF-FFFF02000000}" name="Connection2" type="5" refreshedVersion="4">
    <dbPr connection="Provider=sas.LocalProvider.9.42;Data Source=_LOCAL_;Mode=Read|Share Deny None;SAS File Format=V9;Use TK Manager Search Path=False;SAS Data Set Creation Code Page=0;SAS ValidMemName Read Update=False;SAS Adjust Starting Date 1900=False" command="Q:\working\aat-apprentice-and-trainee\Estimates Review\analysis.sas7bdat" commandType="3"/>
  </connection>
</connections>
</file>

<file path=xl/sharedStrings.xml><?xml version="1.0" encoding="utf-8"?>
<sst xmlns="http://schemas.openxmlformats.org/spreadsheetml/2006/main" count="1456" uniqueCount="180">
  <si>
    <t>1st revision</t>
  </si>
  <si>
    <t>Australia</t>
  </si>
  <si>
    <t>Australian Capital Territory</t>
  </si>
  <si>
    <t>New South Wales</t>
  </si>
  <si>
    <t>Northern Territory</t>
  </si>
  <si>
    <t>Queensland</t>
  </si>
  <si>
    <t>South Australia</t>
  </si>
  <si>
    <t>Tasmania</t>
  </si>
  <si>
    <t>Victoria</t>
  </si>
  <si>
    <t>Western Australia</t>
  </si>
  <si>
    <t>type</t>
  </si>
  <si>
    <t>contract</t>
  </si>
  <si>
    <t>CW</t>
  </si>
  <si>
    <t>04</t>
  </si>
  <si>
    <t>01</t>
  </si>
  <si>
    <t>IT</t>
  </si>
  <si>
    <t xml:space="preserve"> </t>
  </si>
  <si>
    <t>collection_quarter</t>
  </si>
  <si>
    <t>collection_number</t>
  </si>
  <si>
    <t>final_count</t>
  </si>
  <si>
    <t>perc_of_final_count</t>
  </si>
  <si>
    <t>Contact status</t>
  </si>
  <si>
    <t>State</t>
  </si>
  <si>
    <t>Estimate</t>
  </si>
  <si>
    <t>Final count</t>
  </si>
  <si>
    <t>Contract status</t>
  </si>
  <si>
    <t>count_in_PI</t>
  </si>
  <si>
    <t>N</t>
  </si>
  <si>
    <t>Y</t>
  </si>
  <si>
    <t>COUNT</t>
  </si>
  <si>
    <t>CONCAT</t>
  </si>
  <si>
    <t>Initial</t>
  </si>
  <si>
    <t>*</t>
  </si>
  <si>
    <t>3rd rev</t>
  </si>
  <si>
    <t>4th rev</t>
  </si>
  <si>
    <t>5th rev</t>
  </si>
  <si>
    <t>6th rev</t>
  </si>
  <si>
    <t>Collection</t>
  </si>
  <si>
    <t>REVIEW QUARTERS</t>
  </si>
  <si>
    <t>Collection number</t>
  </si>
  <si>
    <t>UPDATE latest collection number:</t>
  </si>
  <si>
    <t>Calender</t>
  </si>
  <si>
    <t>Reporting to:</t>
  </si>
  <si>
    <t>Collecting to:</t>
  </si>
  <si>
    <t>Equivalent to:</t>
  </si>
  <si>
    <t>Collection 
number</t>
  </si>
  <si>
    <t>Review quarters</t>
  </si>
  <si>
    <t>Calendar month reported to:</t>
  </si>
  <si>
    <t>Review quarter</t>
  </si>
  <si>
    <t>% of final count</t>
  </si>
  <si>
    <t xml:space="preserve">Estimate </t>
  </si>
  <si>
    <t>Review 
quarter</t>
  </si>
  <si>
    <t>Low95</t>
  </si>
  <si>
    <t>High95</t>
  </si>
  <si>
    <t>Compare final count with 95% PI (for that estimate)</t>
  </si>
  <si>
    <t>Estimate compared with final count</t>
  </si>
  <si>
    <t>Estimate as a % of final count</t>
  </si>
  <si>
    <t>Baseline (100%)</t>
  </si>
  <si>
    <t>Values</t>
  </si>
  <si>
    <t>Initial and 1st revision estimate compared with final count</t>
  </si>
  <si>
    <t>model</t>
  </si>
  <si>
    <t xml:space="preserve">Model </t>
  </si>
  <si>
    <t>Model vs published estimate</t>
  </si>
  <si>
    <t>Published
estimate</t>
  </si>
  <si>
    <t>Model
estimate</t>
  </si>
  <si>
    <t>R</t>
  </si>
  <si>
    <t>G</t>
  </si>
  <si>
    <t>B</t>
  </si>
  <si>
    <t>To tint:</t>
  </si>
  <si>
    <t>newR = currentR + (255 - currentR) * tint_factor</t>
  </si>
  <si>
    <t>newG = currentG + (255 - currentG) * tint_factor</t>
  </si>
  <si>
    <t>newB = currentB + (255 - currentB) * tint_factor</t>
  </si>
  <si>
    <t>Colours</t>
  </si>
  <si>
    <t>Arial</t>
  </si>
  <si>
    <t>Font:</t>
  </si>
  <si>
    <t>Trebuchet</t>
  </si>
  <si>
    <t>review_quarter</t>
  </si>
  <si>
    <t>Cancellations/withdrawals</t>
  </si>
  <si>
    <t>Commencements</t>
  </si>
  <si>
    <t>Completions</t>
  </si>
  <si>
    <t>In-training</t>
  </si>
  <si>
    <t>Collect to</t>
  </si>
  <si>
    <t>Report to</t>
  </si>
  <si>
    <t>Commencements and completions</t>
  </si>
  <si>
    <t>Cancellations/withdrawals and in-training</t>
  </si>
  <si>
    <t>PIVOT TABLES</t>
  </si>
  <si>
    <t>Estimate type</t>
  </si>
  <si>
    <t/>
  </si>
  <si>
    <t>Different model estimate?</t>
  </si>
  <si>
    <t>Adjustment
to model estimate</t>
  </si>
  <si>
    <t>Dashboard</t>
  </si>
  <si>
    <t>Summary table</t>
  </si>
  <si>
    <t>Back to index</t>
  </si>
  <si>
    <r>
      <rPr>
        <b/>
        <sz val="11"/>
        <color rgb="FF78278B"/>
        <rFont val="Calibri"/>
        <family val="2"/>
        <scheme val="minor"/>
      </rPr>
      <t xml:space="preserve">STEP 1: </t>
    </r>
    <r>
      <rPr>
        <b/>
        <sz val="11"/>
        <rFont val="Calibri"/>
        <family val="2"/>
        <scheme val="minor"/>
      </rPr>
      <t>UPDATE latest collection number 
below to see quarters to be reviewed</t>
    </r>
  </si>
  <si>
    <t>raw_value</t>
  </si>
  <si>
    <t>model_perc_final_count</t>
  </si>
  <si>
    <t>Index</t>
  </si>
  <si>
    <t>Copyright information</t>
  </si>
  <si>
    <t>Published estimate as % of final count</t>
  </si>
  <si>
    <t xml:space="preserve">Model estimate as % of final count  </t>
  </si>
  <si>
    <t>Lower boundary of prediction interval</t>
  </si>
  <si>
    <t>Upper boundary of prediction interval</t>
  </si>
  <si>
    <t xml:space="preserve">NCVER published estimate </t>
  </si>
  <si>
    <t>Initial NCVER published estimate</t>
  </si>
  <si>
    <t>Collected count from STAs</t>
  </si>
  <si>
    <r>
      <t xml:space="preserve">For </t>
    </r>
    <r>
      <rPr>
        <u/>
        <sz val="10"/>
        <color theme="1"/>
        <rFont val="Arial"/>
        <family val="2"/>
      </rPr>
      <t>cancellations/withdrawals and in-training</t>
    </r>
    <r>
      <rPr>
        <sz val="10"/>
        <color theme="1"/>
        <rFont val="Arial"/>
        <family val="2"/>
      </rPr>
      <t>, the following quarters are reviewed in this dashboard:</t>
    </r>
  </si>
  <si>
    <t>Initial estimate</t>
  </si>
  <si>
    <t>First revision estimate</t>
  </si>
  <si>
    <r>
      <t xml:space="preserve">After each collection, the estimates review dashboard will be updated with the latest data and enable a review of the most recent quarters possible. 
For commencements and completions, we require three collections or quarters of data for a final count to emerge for a certain quarter after an initial estimate was reported. For cancellations/withdrawals and in-training, we require seven collections or quarters of data for a final count to emerge for a certain quarter after an initial estimate was reported. Please see the Review quarters tab for more detail.
In summary, for </t>
    </r>
    <r>
      <rPr>
        <u/>
        <sz val="10"/>
        <color theme="1"/>
        <rFont val="Arial"/>
        <family val="2"/>
      </rPr>
      <t>commencements and completions</t>
    </r>
    <r>
      <rPr>
        <sz val="10"/>
        <color theme="1"/>
        <rFont val="Arial"/>
        <family val="2"/>
      </rPr>
      <t xml:space="preserve">, the following quarters are reviewed in this dashboard:
</t>
    </r>
  </si>
  <si>
    <t>Summary</t>
  </si>
  <si>
    <t>Estimate as percentage of final count</t>
  </si>
  <si>
    <r>
      <t xml:space="preserve">Does the final count lie in the </t>
    </r>
    <r>
      <rPr>
        <b/>
        <u/>
        <sz val="10"/>
        <color theme="1"/>
        <rFont val="Arial"/>
        <family val="2"/>
      </rPr>
      <t>initial</t>
    </r>
    <r>
      <rPr>
        <b/>
        <sz val="10"/>
        <color theme="1"/>
        <rFont val="Arial"/>
        <family val="2"/>
      </rPr>
      <t xml:space="preserve"> 95% prediction interval?</t>
    </r>
  </si>
  <si>
    <r>
      <t xml:space="preserve">Does the final count lie in the </t>
    </r>
    <r>
      <rPr>
        <b/>
        <u/>
        <sz val="12"/>
        <color rgb="FF439539"/>
        <rFont val="Arial"/>
        <family val="2"/>
      </rPr>
      <t>initial</t>
    </r>
    <r>
      <rPr>
        <b/>
        <sz val="12"/>
        <color rgb="FF439539"/>
        <rFont val="Arial"/>
        <family val="2"/>
      </rPr>
      <t xml:space="preserve"> 95% prediction interval?</t>
    </r>
  </si>
  <si>
    <t>Explanatory terms and notes are provided as further detail for the dashboard and summary table and graph</t>
  </si>
  <si>
    <t xml:space="preserve">Summary table and graph, providing a snapshot of the dashboard </t>
  </si>
  <si>
    <t>Quarters that are reviewed</t>
  </si>
  <si>
    <t>Glossary and explanatory notes</t>
  </si>
  <si>
    <r>
      <t xml:space="preserve">Does the final count lie in the </t>
    </r>
    <r>
      <rPr>
        <b/>
        <u/>
        <sz val="14"/>
        <color theme="1"/>
        <rFont val="Arial"/>
        <family val="2"/>
      </rPr>
      <t>initial</t>
    </r>
    <r>
      <rPr>
        <b/>
        <sz val="14"/>
        <color theme="1"/>
        <rFont val="Arial"/>
        <family val="2"/>
      </rPr>
      <t xml:space="preserve"> 95% prediction interval?</t>
    </r>
  </si>
  <si>
    <t>With each passing quarter, the estimates on contract activities are revised to include the data received during the most recent data submission. For example, for commencements, around 95% of the complete data are captured one quarter after the training activity has occurred and around 99% after two quarters (at the time the first revision estimate is calculated). For completions, approximately 90% are captured one quarter after the training activity occurred and approximately 97% after two quarters. The revised estimates are published in NCVER’s quarterly statistical reports.</t>
  </si>
  <si>
    <t xml:space="preserve">For commencements and completions, we require three quarters of data for a final count to emerge for a certain quarter after an initial estimate was reported. For cancellations/withdrawals and in-training, we require seven quarters of data.
</t>
  </si>
  <si>
    <r>
      <t>1</t>
    </r>
    <r>
      <rPr>
        <vertAlign val="superscript"/>
        <sz val="11"/>
        <color theme="1"/>
        <rFont val="Arial"/>
        <family val="2"/>
      </rPr>
      <t>st</t>
    </r>
    <r>
      <rPr>
        <sz val="11"/>
        <color theme="1"/>
        <rFont val="Arial"/>
        <family val="2"/>
      </rPr>
      <t xml:space="preserve"> rev</t>
    </r>
  </si>
  <si>
    <r>
      <t>2</t>
    </r>
    <r>
      <rPr>
        <vertAlign val="superscript"/>
        <sz val="11"/>
        <color theme="1"/>
        <rFont val="Arial"/>
        <family val="2"/>
      </rPr>
      <t>nd</t>
    </r>
    <r>
      <rPr>
        <sz val="11"/>
        <color theme="1"/>
        <rFont val="Arial"/>
        <family val="2"/>
      </rPr>
      <t xml:space="preserve"> rev</t>
    </r>
  </si>
  <si>
    <t>Apprentices and trainees estimates review summary</t>
  </si>
  <si>
    <t>Lower boundary of 95% prediction interval</t>
  </si>
  <si>
    <t>Upper boundary of 95% prediction interval</t>
  </si>
  <si>
    <t>Apprentices and trainees estimates review dashboard</t>
  </si>
  <si>
    <t>Which quarters are reviewed?</t>
  </si>
  <si>
    <t>Was the model estimate adjusted to get published estimate?</t>
  </si>
  <si>
    <t>First revision NCVER published estimate</t>
  </si>
  <si>
    <t>Explanatory notes</t>
  </si>
  <si>
    <t>This metric in the dashboard and corresponding field in the summary table indicates the initial or first revision estimate as a percentage of the final count that eventually emerged. For example, an initial estimate of 2900 for a certain contract status and quarter is 101.8% of a final count of 2850 that emerged.</t>
  </si>
  <si>
    <r>
      <rPr>
        <b/>
        <sz val="10"/>
        <color rgb="FF78278B"/>
        <rFont val="Arial"/>
        <family val="2"/>
      </rPr>
      <t>STEP 2</t>
    </r>
    <r>
      <rPr>
        <b/>
        <sz val="10"/>
        <color theme="1"/>
        <rFont val="Arial"/>
        <family val="2"/>
      </rPr>
      <t>: select the review quarters to be reviewed as mentioned in the Introduction section. Hold down the Shift or Ctrl key to select more than one review quarter</t>
    </r>
  </si>
  <si>
    <t>Final count (100%)</t>
  </si>
  <si>
    <r>
      <rPr>
        <b/>
        <sz val="10"/>
        <color rgb="FF78278B"/>
        <rFont val="Arial"/>
        <family val="2"/>
      </rPr>
      <t xml:space="preserve">STEP 1: </t>
    </r>
    <r>
      <rPr>
        <b/>
        <sz val="10"/>
        <rFont val="Arial"/>
        <family val="2"/>
      </rPr>
      <t xml:space="preserve">select </t>
    </r>
    <r>
      <rPr>
        <b/>
        <u/>
        <sz val="10"/>
        <rFont val="Arial"/>
        <family val="2"/>
      </rPr>
      <t>one</t>
    </r>
    <r>
      <rPr>
        <b/>
        <sz val="10"/>
        <rFont val="Arial"/>
        <family val="2"/>
      </rPr>
      <t xml:space="preserve"> estimate type, contract status and state/territory  to review from the left-hand menu </t>
    </r>
  </si>
  <si>
    <t>Model estimate</t>
  </si>
  <si>
    <t>Visualisation of data, enabling a review of the accuracy of the published estimates, and hence methodology</t>
  </si>
  <si>
    <t>State training authorities (STAs)</t>
  </si>
  <si>
    <t>Why does NCVER estimate?</t>
  </si>
  <si>
    <t>What is the purpose of this tool?</t>
  </si>
  <si>
    <t>Commencements, AUS</t>
  </si>
  <si>
    <t>Collected counts</t>
  </si>
  <si>
    <t>Estimates</t>
  </si>
  <si>
    <t>ETE</t>
  </si>
  <si>
    <t>initial</t>
  </si>
  <si>
    <t>2nd revision</t>
  </si>
  <si>
    <t>Commencements, Australia, September 2016 quarter</t>
  </si>
  <si>
    <t>-</t>
  </si>
  <si>
    <t>Quarter</t>
  </si>
  <si>
    <t>Collected count</t>
  </si>
  <si>
    <t>Second revision estimate</t>
  </si>
  <si>
    <t>Type of estimate</t>
  </si>
  <si>
    <t>A</t>
  </si>
  <si>
    <t>Apprentice and trainee data (numbers of contracts of training and the time at which these events occur) are reported by the state and territory training authorities (STAs) to NCVER on a quarterly basis. However, it is not unusual for some time to elapse before information about the number of contracts of training appears in the national collection, due to a chain of administrative processes that must be followed. These time gaps are referred to as 'reporting lags'.
Thus, data about events occurring in a given quarter might require several collections to be completely reported. It takes up to four quarters for commencements and completions and eight quarters for cancellations/withdrawals for complete information about these events to appear in the national collection. As a result, accurate counts take time to accumulate.  However, waiting for all the data to be submitted reduces their usefulness.  In order to get timely information that can be used for monitoring apprentice/trainee activity and formulating policy, a reliable estimate of the 'final' counts is required as soon as possible after the quarter in which the events occur.
For example, consider the lag between estimated and actual collected contract commencements, for Australia, for September 2016 quarter:</t>
  </si>
  <si>
    <t xml:space="preserve">The blue line in the figure above, indicating actual collected numbers from the STAs shows how data for the September 2016 quarter commencements accumulate over time.  
The green line shows how the corresponding NCVER estimates are revised over the same time period. The estimates are based on the average ratios of the final reported count to the reported count at quarters two to four as observed for quarters previous to September 2016. As the amount of unknown data reduces across the quarters, the estimates improve and converge toward the actual final count. After four quarters, the actual collected counts are as good as anything NCVER can estimate. For quarter five and onwards, NCVER only reports the actual collected count for September 2016 commencements.
</t>
  </si>
  <si>
    <t xml:space="preserve">Initial estimates are calculated one quarter after the training activity occurred. For example, the initially published estimates for the December quarter contract activities are calculated when NCVER receives the March quarter data. The initial estimates are published in NCVER’s quarterly statistical reports on apprentice and trainee contract activities. </t>
  </si>
  <si>
    <t>&lt;https://www.ncver.edu.au/data/collection/apprentices-and-trainees-collection&gt;.</t>
  </si>
  <si>
    <r>
      <t xml:space="preserve">This first metric in the dashboard and corresponding field in the summary table compares the final count that eventually emerge to the 95% prediction interval calculated for the </t>
    </r>
    <r>
      <rPr>
        <u/>
        <sz val="11"/>
        <color theme="1"/>
        <rFont val="Arial"/>
        <family val="2"/>
      </rPr>
      <t>initial</t>
    </r>
    <r>
      <rPr>
        <sz val="11"/>
        <color theme="1"/>
        <rFont val="Arial"/>
        <family val="2"/>
      </rPr>
      <t xml:space="preserve"> estimate. Therefore, for example, even though the initial estimate may be 110% of the final count as described above, the final count can indeed still lie within the initial 95% prediction interval. This may be due to a wide prediction interval related to the initial estimate and encompassing the final count. Conversely, for a narrow prediction interval associated with the initial estimate, the final count may lie outside the initial 95% prediction interval, when the initial estimate is, say, only 102% of the final count. The width of the prediction interval is determined by the standard error associated with the calculation of the estimate. For detailed information on the calculation methodology of the estimates and subsequent prediction errors and intervals,</t>
    </r>
  </si>
  <si>
    <t>please see the technical paper,</t>
  </si>
  <si>
    <t>Estimation of apprentices and trainee statistics.</t>
  </si>
  <si>
    <t>State training authorities are government departments in each state or territory responsible for the operation of the vocational education and training (VET) system (including apprenticeships) within that jurisdiction. Each STA participates in the formulation of national policy, planning and objectives, and promotes and implements the agreed policies and priorities in the state or territory. Specifically, in the case of apprentices and trainees, the STAs are responsible for the registration and certification of apprenticeships training agreements and employment arrangements surrounding apprentices and trainees.</t>
  </si>
  <si>
    <t>The model estimate is the estimate produced by the endorsed estimation methodology, and is subject to review.  Estimates that are associated with high relative errors or are unusually high or low are examined and if possible adjusted. The resulting estimate is the published estimate.  Where no adjustment is made to the model estimate, the published estimate is equal to the model estimate. Documentation relating to the review for collections can be found in the Adjustment notes for Apprentice and trainee estimates documents, which is provided as a supporting document for each collection, and can be found at</t>
  </si>
  <si>
    <t>&lt;https://www.ncver.edu.au/publications/publications/all-publications/a-guide-to-the-apprentices-and-trainees-estimates-review-dashboard&gt;.</t>
  </si>
  <si>
    <t xml:space="preserve">NCVER has committed to reviewing the accuracy and reliability of the methodology employed in the estimation process, as described above, on a quarterly basis. In doing so, stakeholders can be assured on a timely and continuous basis of the robustness and veracity of the estimates that are published by NCVER, based on the counts that are collected from the state training authorities. This is a reflection of NCVER’s continuous commitment to transparency of processes employed and data published.
In order to undertake an efficient and frequent review of the estimation process, it was thought best to develop this interactive tool, to allow the user to quickly and effectively assess the accuracy of the estimates published by NCVER.
The estimates that are reviewed are the initial estimates and first revision estimates. The reliability and accuracy of the estimates are assessed by comparing the initial and first revision published estimates to the final counts that emerge, and by assessing the final count against the 95% prediction intervals of the published estimates.
A technical paper has been produced to provide a brief overview of the estimation methodology employed in the National Apprentice and Trainee Collection and instructions on the operation of this dashboard. The technical paper can be found at
</t>
  </si>
  <si>
    <t>Link to technical paper</t>
  </si>
  <si>
    <t>The review quarters investigated for each contract status are identified, based on final counts that emerge</t>
  </si>
  <si>
    <t>27 567</t>
  </si>
  <si>
    <t>36 084</t>
  </si>
  <si>
    <t>37 140</t>
  </si>
  <si>
    <t>37 384</t>
  </si>
  <si>
    <t>37 471</t>
  </si>
  <si>
    <t>37 927</t>
  </si>
  <si>
    <t>37 479</t>
  </si>
  <si>
    <t>37 493</t>
  </si>
  <si>
    <t>STEP 1:  Refresh ANALYSIS table
STEP 2:  Click button below</t>
  </si>
  <si>
    <t>TABLES FOR DASHBOARD GRAPHS</t>
  </si>
  <si>
    <t>PIVOT TABLES - TO UPDATE/REFRESH</t>
  </si>
  <si>
    <r>
      <rPr>
        <b/>
        <sz val="9"/>
        <color theme="1"/>
        <rFont val="Calibri"/>
        <family val="2"/>
      </rPr>
      <t>©</t>
    </r>
    <r>
      <rPr>
        <b/>
        <sz val="9"/>
        <color theme="1"/>
        <rFont val="Arial"/>
        <family val="2"/>
      </rPr>
      <t xml:space="preserve"> Commonwealth of Australia, 2023</t>
    </r>
  </si>
  <si>
    <r>
      <t xml:space="preserve">With the exception of the Commonwealth Coat of Arms, the Department's logo, any material protected by a trade mark and where otherwise noted all material presented in this document is provided under a Creative Commons Attribution 3.0 Australia &lt;www.creativecommons.org/licenses/by/3.0/au&gt; licence. 
The details of the relevant licence conditions are available on the Creative Commons website (accessible using the links provided) as is the full legal code for the CC BY 3.0 AU licence &lt;www.creativecommons.org/licenses/by/3.0/legalcode&gt;.
This document should be attributed as NCVER 2023, </t>
    </r>
    <r>
      <rPr>
        <i/>
        <sz val="10"/>
        <rFont val="Arial"/>
        <family val="2"/>
      </rPr>
      <t>Australian vocational education and training statistics: Apprentices and trainees estimates review dashboard: September quarter 2022,</t>
    </r>
    <r>
      <rPr>
        <sz val="10"/>
        <rFont val="Arial"/>
        <family val="2"/>
      </rPr>
      <t xml:space="preserve"> NCVER, Adelaide.
This work has been produced by the National Centre for Vocational Education Research (NCVER) on behalf of the Australian Government and state and territory governments, with funding provided through the Australian Government Department of Employment and Workplace Relations. 
The views and opinions expressed in this document are those of NCVER and do not necessarily reflect the views of the Australian Government or state and territory governments.  
Published by NCVER, ABN 87 007 967 311
Level 5, 60 Light Square, Adelaide SA 5000
PO Box 8288, Station Arcade, Adelaide SA 5000, Australia
P (08) 8230 8400   W &lt;www.ncver.edu.au&gt;   E &lt;ncver@ncver.edu.au&gt;</t>
    </r>
  </si>
  <si>
    <t>Copyright</t>
  </si>
  <si>
    <t>View copyright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</si>
</sst>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_);_(* \(#,##0\);_(* &quot;-&quot;_);_(@_)"/>
    <numFmt numFmtId="165" formatCode="_(* #,##0.00_);_(* \(#,##0.00\);_(* &quot;-&quot;??_);_(@_)"/>
    <numFmt numFmtId="166" formatCode="0.0"/>
    <numFmt numFmtId="167" formatCode="0.0%"/>
    <numFmt numFmtId="168" formatCode="_-* #,##0_-;\-* #,##0_-;_-* &quot;-&quot;??_-;_-@_-"/>
    <numFmt numFmtId="169" formatCode="[$-409]mmm\-yy;@"/>
  </numFmts>
  <fonts count="67" x14ac:knownFonts="1">
    <font>
      <sz val="11"/>
      <color theme="1"/>
      <name val="Calibri"/>
      <family val="2"/>
      <scheme val="minor"/>
    </font>
    <font>
      <b/>
      <sz val="11"/>
      <color theme="1"/>
      <name val="Calibri"/>
      <family val="2"/>
      <scheme val="minor"/>
    </font>
    <font>
      <b/>
      <sz val="9"/>
      <color indexed="81"/>
      <name val="Tahoma"/>
      <family val="2"/>
    </font>
    <font>
      <b/>
      <sz val="11"/>
      <color theme="0"/>
      <name val="Calibri"/>
      <family val="2"/>
      <scheme val="minor"/>
    </font>
    <font>
      <sz val="9"/>
      <color indexed="81"/>
      <name val="Tahoma"/>
      <family val="2"/>
    </font>
    <font>
      <sz val="11"/>
      <name val="Calibri"/>
      <family val="2"/>
      <scheme val="minor"/>
    </font>
    <font>
      <sz val="10"/>
      <color theme="1"/>
      <name val="Calibri"/>
      <family val="2"/>
      <scheme val="minor"/>
    </font>
    <font>
      <b/>
      <sz val="10"/>
      <color theme="1"/>
      <name val="Calibri"/>
      <family val="2"/>
      <scheme val="minor"/>
    </font>
    <font>
      <sz val="10"/>
      <color theme="1"/>
      <name val="Calibri"/>
      <family val="2"/>
    </font>
    <font>
      <sz val="10"/>
      <name val="Calibri"/>
      <family val="2"/>
    </font>
    <font>
      <sz val="11"/>
      <color theme="0"/>
      <name val="Calibri"/>
      <family val="2"/>
      <scheme val="minor"/>
    </font>
    <font>
      <b/>
      <sz val="18"/>
      <name val="Calibri"/>
      <family val="2"/>
      <scheme val="minor"/>
    </font>
    <font>
      <sz val="8"/>
      <color indexed="81"/>
      <name val="Tahoma"/>
      <family val="2"/>
    </font>
    <font>
      <b/>
      <sz val="11"/>
      <name val="Calibri"/>
      <family val="2"/>
      <scheme val="minor"/>
    </font>
    <font>
      <sz val="11"/>
      <name val="Calibri"/>
      <family val="2"/>
    </font>
    <font>
      <sz val="9"/>
      <color theme="0" tint="-4.9989318521683403E-2"/>
      <name val="Calibri"/>
      <family val="2"/>
      <scheme val="minor"/>
    </font>
    <font>
      <b/>
      <sz val="11"/>
      <color rgb="FFFF0000"/>
      <name val="Calibri"/>
      <family val="2"/>
      <scheme val="minor"/>
    </font>
    <font>
      <b/>
      <sz val="13"/>
      <color theme="0"/>
      <name val="Calibri"/>
      <family val="2"/>
      <scheme val="minor"/>
    </font>
    <font>
      <b/>
      <sz val="18"/>
      <color theme="1"/>
      <name val="Calibri"/>
      <family val="2"/>
      <scheme val="minor"/>
    </font>
    <font>
      <sz val="11"/>
      <color theme="1"/>
      <name val="Calibri"/>
      <family val="2"/>
      <scheme val="minor"/>
    </font>
    <font>
      <b/>
      <sz val="11.5"/>
      <color theme="1"/>
      <name val="Calibri"/>
      <family val="2"/>
      <scheme val="minor"/>
    </font>
    <font>
      <b/>
      <sz val="14"/>
      <color theme="1"/>
      <name val="Calibri"/>
      <family val="2"/>
      <scheme val="minor"/>
    </font>
    <font>
      <b/>
      <sz val="13"/>
      <color theme="1"/>
      <name val="Calibri"/>
      <family val="2"/>
      <scheme val="minor"/>
    </font>
    <font>
      <b/>
      <sz val="12"/>
      <color theme="1"/>
      <name val="Calibri"/>
      <family val="2"/>
      <scheme val="minor"/>
    </font>
    <font>
      <sz val="18"/>
      <name val="Calibri"/>
      <family val="2"/>
      <scheme val="minor"/>
    </font>
    <font>
      <sz val="11"/>
      <color theme="1"/>
      <name val="Arial"/>
      <family val="2"/>
    </font>
    <font>
      <sz val="11"/>
      <color theme="1"/>
      <name val="Trebuchet MS"/>
      <family val="2"/>
    </font>
    <font>
      <b/>
      <sz val="11"/>
      <color rgb="FF78278B"/>
      <name val="Calibri"/>
      <family val="2"/>
      <scheme val="minor"/>
    </font>
    <font>
      <u/>
      <sz val="11"/>
      <color theme="10"/>
      <name val="Calibri"/>
      <family val="2"/>
      <scheme val="minor"/>
    </font>
    <font>
      <u/>
      <sz val="11"/>
      <color theme="0"/>
      <name val="Calibri"/>
      <family val="2"/>
      <scheme val="minor"/>
    </font>
    <font>
      <sz val="11"/>
      <color theme="0" tint="-0.14999847407452621"/>
      <name val="Calibri"/>
      <family val="2"/>
      <scheme val="minor"/>
    </font>
    <font>
      <sz val="9"/>
      <color theme="0" tint="-0.14999847407452621"/>
      <name val="Calibri"/>
      <family val="2"/>
      <scheme val="minor"/>
    </font>
    <font>
      <b/>
      <sz val="18"/>
      <color theme="0"/>
      <name val="Arial"/>
      <family val="2"/>
    </font>
    <font>
      <b/>
      <sz val="10"/>
      <color theme="1"/>
      <name val="Arial"/>
      <family val="2"/>
    </font>
    <font>
      <b/>
      <sz val="10"/>
      <color rgb="FF003767"/>
      <name val="Arial"/>
      <family val="2"/>
    </font>
    <font>
      <b/>
      <sz val="14"/>
      <color theme="1"/>
      <name val="Arial"/>
      <family val="2"/>
    </font>
    <font>
      <b/>
      <sz val="10"/>
      <color rgb="FF78278B"/>
      <name val="Arial"/>
      <family val="2"/>
    </font>
    <font>
      <b/>
      <sz val="10"/>
      <name val="Arial"/>
      <family val="2"/>
    </font>
    <font>
      <b/>
      <u/>
      <sz val="10"/>
      <name val="Arial"/>
      <family val="2"/>
    </font>
    <font>
      <sz val="10"/>
      <color theme="1"/>
      <name val="Arial"/>
      <family val="2"/>
    </font>
    <font>
      <u/>
      <sz val="10"/>
      <color theme="10"/>
      <name val="Arial"/>
      <family val="2"/>
    </font>
    <font>
      <b/>
      <sz val="10"/>
      <color theme="0"/>
      <name val="Arial"/>
      <family val="2"/>
    </font>
    <font>
      <sz val="10"/>
      <name val="Arial"/>
      <family val="2"/>
    </font>
    <font>
      <b/>
      <sz val="14"/>
      <color theme="0"/>
      <name val="Arial"/>
      <family val="2"/>
    </font>
    <font>
      <sz val="9.5"/>
      <color theme="1"/>
      <name val="Trebuchet MS"/>
      <family val="2"/>
    </font>
    <font>
      <b/>
      <u/>
      <sz val="10"/>
      <color theme="1"/>
      <name val="Arial"/>
      <family val="2"/>
    </font>
    <font>
      <sz val="10"/>
      <color theme="0"/>
      <name val="Arial"/>
      <family val="2"/>
    </font>
    <font>
      <u/>
      <sz val="10"/>
      <color theme="1"/>
      <name val="Arial"/>
      <family val="2"/>
    </font>
    <font>
      <b/>
      <sz val="11"/>
      <color rgb="FF439539"/>
      <name val="Arial"/>
      <family val="2"/>
    </font>
    <font>
      <b/>
      <sz val="12"/>
      <color rgb="FF439539"/>
      <name val="Arial"/>
      <family val="2"/>
    </font>
    <font>
      <b/>
      <u/>
      <sz val="12"/>
      <color rgb="FF439539"/>
      <name val="Arial"/>
      <family val="2"/>
    </font>
    <font>
      <u/>
      <sz val="11"/>
      <color theme="1"/>
      <name val="Arial"/>
      <family val="2"/>
    </font>
    <font>
      <u/>
      <sz val="11"/>
      <color theme="10"/>
      <name val="Arial"/>
      <family val="2"/>
    </font>
    <font>
      <b/>
      <u/>
      <sz val="14"/>
      <color theme="1"/>
      <name val="Arial"/>
      <family val="2"/>
    </font>
    <font>
      <sz val="10.5"/>
      <color theme="1"/>
      <name val="Arial"/>
      <family val="2"/>
    </font>
    <font>
      <b/>
      <sz val="11"/>
      <name val="Arial"/>
      <family val="2"/>
    </font>
    <font>
      <vertAlign val="superscript"/>
      <sz val="11"/>
      <color theme="1"/>
      <name val="Arial"/>
      <family val="2"/>
    </font>
    <font>
      <sz val="11"/>
      <name val="Arial"/>
      <family val="2"/>
    </font>
    <font>
      <sz val="10"/>
      <color rgb="FFFF0000"/>
      <name val="Arial"/>
      <family val="2"/>
    </font>
    <font>
      <b/>
      <sz val="20"/>
      <color theme="0"/>
      <name val="Arial"/>
      <family val="2"/>
    </font>
    <font>
      <u/>
      <sz val="10"/>
      <color rgb="FF1A0FF9"/>
      <name val="Arial"/>
      <family val="2"/>
    </font>
    <font>
      <b/>
      <sz val="11"/>
      <color rgb="FFFF0000"/>
      <name val="Arial"/>
      <family val="2"/>
    </font>
    <font>
      <i/>
      <sz val="10"/>
      <name val="Arial"/>
      <family val="2"/>
    </font>
    <font>
      <sz val="9"/>
      <name val="Arial"/>
      <family val="2"/>
    </font>
    <font>
      <b/>
      <sz val="9"/>
      <color theme="1"/>
      <name val="Arial"/>
      <family val="2"/>
    </font>
    <font>
      <b/>
      <sz val="9"/>
      <color theme="1"/>
      <name val="Calibri"/>
      <family val="2"/>
    </font>
    <font>
      <sz val="10"/>
      <color theme="1"/>
      <name val="Arial"/>
    </font>
  </fonts>
  <fills count="23">
    <fill>
      <patternFill patternType="none"/>
    </fill>
    <fill>
      <patternFill patternType="gray125"/>
    </fill>
    <fill>
      <patternFill patternType="darkUp">
        <fgColor rgb="FFD9D9D9"/>
        <bgColor rgb="FFEDEDED"/>
      </patternFill>
    </fill>
    <fill>
      <patternFill patternType="lightUp">
        <fgColor rgb="FFBFBFBF"/>
        <bgColor rgb="FFF1F1F1"/>
      </patternFill>
    </fill>
    <fill>
      <patternFill patternType="solid">
        <fgColor theme="0" tint="-4.9989318521683403E-2"/>
        <bgColor indexed="64"/>
      </patternFill>
    </fill>
    <fill>
      <patternFill patternType="solid">
        <fgColor rgb="FF003767"/>
        <bgColor indexed="64"/>
      </patternFill>
    </fill>
    <fill>
      <patternFill patternType="solid">
        <fgColor rgb="FF439539"/>
        <bgColor indexed="64"/>
      </patternFill>
    </fill>
    <fill>
      <patternFill patternType="solid">
        <fgColor rgb="FF78278B"/>
        <bgColor indexed="64"/>
      </patternFill>
    </fill>
    <fill>
      <patternFill patternType="solid">
        <fgColor rgb="FF0081C6"/>
        <bgColor indexed="64"/>
      </patternFill>
    </fill>
    <fill>
      <patternFill patternType="solid">
        <fgColor rgb="FFBFCDD9"/>
        <bgColor indexed="64"/>
      </patternFill>
    </fill>
    <fill>
      <patternFill patternType="solid">
        <fgColor rgb="FF809BB3"/>
        <bgColor indexed="64"/>
      </patternFill>
    </fill>
    <fill>
      <patternFill patternType="solid">
        <fgColor rgb="FF40698D"/>
        <bgColor indexed="64"/>
      </patternFill>
    </fill>
    <fill>
      <patternFill patternType="solid">
        <fgColor rgb="FFD0E5CE"/>
        <bgColor indexed="64"/>
      </patternFill>
    </fill>
    <fill>
      <patternFill patternType="solid">
        <fgColor rgb="FFA1CA9C"/>
        <bgColor indexed="64"/>
      </patternFill>
    </fill>
    <fill>
      <patternFill patternType="solid">
        <fgColor rgb="FF72B06B"/>
        <bgColor indexed="64"/>
      </patternFill>
    </fill>
    <fill>
      <patternFill patternType="solid">
        <fgColor rgb="FFDDC9E2"/>
        <bgColor indexed="64"/>
      </patternFill>
    </fill>
    <fill>
      <patternFill patternType="solid">
        <fgColor rgb="FFBC93C5"/>
        <bgColor indexed="64"/>
      </patternFill>
    </fill>
    <fill>
      <patternFill patternType="solid">
        <fgColor rgb="FF9A5DA8"/>
        <bgColor indexed="64"/>
      </patternFill>
    </fill>
    <fill>
      <patternFill patternType="solid">
        <fgColor rgb="FFBFE0F1"/>
        <bgColor indexed="64"/>
      </patternFill>
    </fill>
    <fill>
      <patternFill patternType="solid">
        <fgColor rgb="FF80C0E3"/>
        <bgColor indexed="64"/>
      </patternFill>
    </fill>
    <fill>
      <patternFill patternType="solid">
        <fgColor rgb="FF40A1D4"/>
        <bgColor indexed="64"/>
      </patternFill>
    </fill>
    <fill>
      <patternFill patternType="solid">
        <fgColor rgb="FFD0E5CE"/>
        <bgColor theme="4" tint="0.79998168889431442"/>
      </patternFill>
    </fill>
    <fill>
      <patternFill patternType="solid">
        <fgColor rgb="FFBFE0F1"/>
        <bgColor theme="4" tint="0.79998168889431442"/>
      </patternFill>
    </fill>
  </fills>
  <borders count="7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F2F2F2"/>
      </bottom>
      <diagonal/>
    </border>
    <border>
      <left style="thin">
        <color indexed="64"/>
      </left>
      <right style="thin">
        <color indexed="64"/>
      </right>
      <top/>
      <bottom/>
      <diagonal/>
    </border>
    <border>
      <left style="medium">
        <color indexed="64"/>
      </left>
      <right/>
      <top style="medium">
        <color indexed="64"/>
      </top>
      <bottom style="medium">
        <color rgb="FFF2F2F2"/>
      </bottom>
      <diagonal/>
    </border>
    <border>
      <left/>
      <right/>
      <top style="medium">
        <color indexed="64"/>
      </top>
      <bottom style="medium">
        <color rgb="FFF2F2F2"/>
      </bottom>
      <diagonal/>
    </border>
    <border>
      <left style="medium">
        <color indexed="64"/>
      </left>
      <right/>
      <top/>
      <bottom style="medium">
        <color rgb="FFF2F2F2"/>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thin">
        <color theme="4" tint="0.39997558519241921"/>
      </bottom>
      <diagonal/>
    </border>
    <border>
      <left style="thin">
        <color rgb="FF439539"/>
      </left>
      <right style="thin">
        <color rgb="FF439539"/>
      </right>
      <top style="thin">
        <color rgb="FF439539"/>
      </top>
      <bottom style="thin">
        <color rgb="FF439539"/>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diagonal/>
    </border>
    <border>
      <left/>
      <right style="thin">
        <color theme="0" tint="-0.14996795556505021"/>
      </right>
      <top/>
      <bottom/>
      <diagonal/>
    </border>
    <border>
      <left style="thin">
        <color rgb="FF0081C6"/>
      </left>
      <right style="thin">
        <color rgb="FF0081C6"/>
      </right>
      <top style="thin">
        <color rgb="FF0081C6"/>
      </top>
      <bottom style="thin">
        <color rgb="FF0081C6"/>
      </bottom>
      <diagonal/>
    </border>
    <border>
      <left style="thin">
        <color rgb="FF0081C6"/>
      </left>
      <right/>
      <top style="thin">
        <color rgb="FF0081C6"/>
      </top>
      <bottom style="thin">
        <color rgb="FF0081C6"/>
      </bottom>
      <diagonal/>
    </border>
    <border>
      <left/>
      <right/>
      <top style="thin">
        <color rgb="FF0081C6"/>
      </top>
      <bottom style="thin">
        <color rgb="FF0081C6"/>
      </bottom>
      <diagonal/>
    </border>
    <border>
      <left/>
      <right style="thin">
        <color rgb="FF0081C6"/>
      </right>
      <top style="thin">
        <color rgb="FF0081C6"/>
      </top>
      <bottom style="thin">
        <color rgb="FF0081C6"/>
      </bottom>
      <diagonal/>
    </border>
    <border>
      <left style="mediumDashed">
        <color rgb="FF0081C6"/>
      </left>
      <right/>
      <top style="mediumDashed">
        <color rgb="FF0081C6"/>
      </top>
      <bottom/>
      <diagonal/>
    </border>
    <border>
      <left/>
      <right/>
      <top style="mediumDashed">
        <color rgb="FF0081C6"/>
      </top>
      <bottom/>
      <diagonal/>
    </border>
    <border>
      <left/>
      <right style="mediumDashed">
        <color rgb="FF0081C6"/>
      </right>
      <top style="mediumDashed">
        <color rgb="FF0081C6"/>
      </top>
      <bottom/>
      <diagonal/>
    </border>
    <border>
      <left style="mediumDashed">
        <color rgb="FF0081C6"/>
      </left>
      <right/>
      <top/>
      <bottom style="mediumDashed">
        <color rgb="FF0081C6"/>
      </bottom>
      <diagonal/>
    </border>
    <border>
      <left/>
      <right/>
      <top/>
      <bottom style="mediumDashed">
        <color rgb="FF0081C6"/>
      </bottom>
      <diagonal/>
    </border>
    <border>
      <left/>
      <right style="mediumDashed">
        <color rgb="FF0081C6"/>
      </right>
      <top/>
      <bottom style="mediumDashed">
        <color rgb="FF0081C6"/>
      </bottom>
      <diagonal/>
    </border>
    <border>
      <left style="thin">
        <color rgb="FF0081C6"/>
      </left>
      <right style="thin">
        <color rgb="FF0081C6"/>
      </right>
      <top style="thin">
        <color rgb="FF0081C6"/>
      </top>
      <bottom/>
      <diagonal/>
    </border>
    <border>
      <left style="thin">
        <color rgb="FF0081C6"/>
      </left>
      <right style="thin">
        <color rgb="FF0081C6"/>
      </right>
      <top/>
      <bottom style="thin">
        <color rgb="FF0081C6"/>
      </bottom>
      <diagonal/>
    </border>
    <border>
      <left style="medium">
        <color rgb="FF439539"/>
      </left>
      <right/>
      <top style="medium">
        <color rgb="FF439539"/>
      </top>
      <bottom style="medium">
        <color rgb="FF439539"/>
      </bottom>
      <diagonal/>
    </border>
    <border>
      <left/>
      <right/>
      <top style="medium">
        <color rgb="FF439539"/>
      </top>
      <bottom style="medium">
        <color rgb="FF439539"/>
      </bottom>
      <diagonal/>
    </border>
    <border>
      <left/>
      <right style="medium">
        <color rgb="FF439539"/>
      </right>
      <top style="medium">
        <color rgb="FF439539"/>
      </top>
      <bottom style="medium">
        <color rgb="FF439539"/>
      </bottom>
      <diagonal/>
    </border>
    <border>
      <left/>
      <right/>
      <top style="thin">
        <color rgb="FF439539"/>
      </top>
      <bottom style="thin">
        <color rgb="FF439539"/>
      </bottom>
      <diagonal/>
    </border>
    <border>
      <left style="thin">
        <color rgb="FF0081C6"/>
      </left>
      <right/>
      <top style="thin">
        <color rgb="FF0081C6"/>
      </top>
      <bottom/>
      <diagonal/>
    </border>
    <border>
      <left/>
      <right/>
      <top style="thin">
        <color rgb="FF0081C6"/>
      </top>
      <bottom/>
      <diagonal/>
    </border>
    <border>
      <left/>
      <right style="thin">
        <color rgb="FF0081C6"/>
      </right>
      <top style="thin">
        <color rgb="FF0081C6"/>
      </top>
      <bottom/>
      <diagonal/>
    </border>
    <border>
      <left style="thin">
        <color rgb="FF0081C6"/>
      </left>
      <right/>
      <top/>
      <bottom/>
      <diagonal/>
    </border>
    <border>
      <left/>
      <right style="thin">
        <color rgb="FF0081C6"/>
      </right>
      <top/>
      <bottom/>
      <diagonal/>
    </border>
    <border>
      <left style="thin">
        <color rgb="FF0081C6"/>
      </left>
      <right/>
      <top/>
      <bottom style="thin">
        <color rgb="FF0081C6"/>
      </bottom>
      <diagonal/>
    </border>
    <border>
      <left/>
      <right/>
      <top/>
      <bottom style="thin">
        <color rgb="FF0081C6"/>
      </bottom>
      <diagonal/>
    </border>
    <border>
      <left/>
      <right style="thin">
        <color rgb="FF0081C6"/>
      </right>
      <top/>
      <bottom style="thin">
        <color rgb="FF0081C6"/>
      </bottom>
      <diagonal/>
    </border>
    <border>
      <left style="thin">
        <color rgb="FF439539"/>
      </left>
      <right/>
      <top style="thin">
        <color rgb="FF439539"/>
      </top>
      <bottom/>
      <diagonal/>
    </border>
    <border>
      <left/>
      <right/>
      <top style="thin">
        <color rgb="FF439539"/>
      </top>
      <bottom/>
      <diagonal/>
    </border>
    <border>
      <left/>
      <right style="thin">
        <color rgb="FF439539"/>
      </right>
      <top style="thin">
        <color rgb="FF439539"/>
      </top>
      <bottom/>
      <diagonal/>
    </border>
    <border>
      <left style="thin">
        <color rgb="FF439539"/>
      </left>
      <right/>
      <top/>
      <bottom/>
      <diagonal/>
    </border>
    <border>
      <left/>
      <right style="thin">
        <color rgb="FF439539"/>
      </right>
      <top/>
      <bottom/>
      <diagonal/>
    </border>
    <border>
      <left style="thin">
        <color rgb="FF439539"/>
      </left>
      <right/>
      <top/>
      <bottom style="thin">
        <color rgb="FF439539"/>
      </bottom>
      <diagonal/>
    </border>
    <border>
      <left/>
      <right/>
      <top/>
      <bottom style="thin">
        <color rgb="FF439539"/>
      </bottom>
      <diagonal/>
    </border>
    <border>
      <left/>
      <right style="thin">
        <color rgb="FF439539"/>
      </right>
      <top/>
      <bottom style="thin">
        <color rgb="FF439539"/>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medium">
        <color rgb="FF0081C6"/>
      </left>
      <right/>
      <top style="medium">
        <color rgb="FF0081C6"/>
      </top>
      <bottom style="medium">
        <color rgb="FF0081C6"/>
      </bottom>
      <diagonal/>
    </border>
    <border>
      <left/>
      <right/>
      <top style="medium">
        <color rgb="FF0081C6"/>
      </top>
      <bottom style="medium">
        <color rgb="FF0081C6"/>
      </bottom>
      <diagonal/>
    </border>
    <border>
      <left/>
      <right style="medium">
        <color rgb="FF0081C6"/>
      </right>
      <top style="medium">
        <color rgb="FF0081C6"/>
      </top>
      <bottom style="medium">
        <color rgb="FF0081C6"/>
      </bottom>
      <diagonal/>
    </border>
  </borders>
  <cellStyleXfs count="4">
    <xf numFmtId="0" fontId="0" fillId="0" borderId="0"/>
    <xf numFmtId="9" fontId="19" fillId="0" borderId="0" applyFont="0" applyFill="0" applyBorder="0" applyAlignment="0" applyProtection="0"/>
    <xf numFmtId="165" fontId="19" fillId="0" borderId="0" applyFont="0" applyFill="0" applyBorder="0" applyAlignment="0" applyProtection="0"/>
    <xf numFmtId="0" fontId="28" fillId="0" borderId="0" applyNumberFormat="0" applyFill="0" applyBorder="0" applyAlignment="0" applyProtection="0"/>
  </cellStyleXfs>
  <cellXfs count="346">
    <xf numFmtId="0" fontId="0" fillId="0" borderId="0" xfId="0"/>
    <xf numFmtId="0" fontId="0" fillId="0" borderId="0" xfId="0" quotePrefix="1"/>
    <xf numFmtId="49" fontId="0" fillId="0" borderId="0" xfId="0" applyNumberFormat="1"/>
    <xf numFmtId="3" fontId="0" fillId="0" borderId="0" xfId="0" applyNumberFormat="1"/>
    <xf numFmtId="17" fontId="7" fillId="0" borderId="0" xfId="0" applyNumberFormat="1" applyFont="1" applyAlignment="1">
      <alignment horizontal="center"/>
    </xf>
    <xf numFmtId="0" fontId="8" fillId="0" borderId="0" xfId="0" applyFont="1" applyAlignment="1">
      <alignment horizontal="center" vertical="center"/>
    </xf>
    <xf numFmtId="166" fontId="9" fillId="0" borderId="0" xfId="0" applyNumberFormat="1" applyFont="1" applyAlignment="1">
      <alignment horizontal="center" vertical="center"/>
    </xf>
    <xf numFmtId="0" fontId="6" fillId="0" borderId="0" xfId="0" applyFont="1"/>
    <xf numFmtId="17" fontId="6" fillId="0" borderId="0" xfId="0" applyNumberFormat="1" applyFont="1"/>
    <xf numFmtId="17" fontId="8" fillId="0" borderId="0" xfId="0" applyNumberFormat="1" applyFont="1" applyAlignment="1">
      <alignment vertical="center"/>
    </xf>
    <xf numFmtId="0" fontId="0" fillId="0" borderId="0" xfId="0" quotePrefix="1" applyAlignment="1">
      <alignment horizontal="center"/>
    </xf>
    <xf numFmtId="0" fontId="1" fillId="0" borderId="0" xfId="0" quotePrefix="1" applyFont="1" applyAlignment="1">
      <alignment horizontal="center"/>
    </xf>
    <xf numFmtId="0" fontId="10" fillId="0" borderId="0" xfId="0" quotePrefix="1" applyFont="1" applyAlignment="1">
      <alignment horizontal="center"/>
    </xf>
    <xf numFmtId="0" fontId="0" fillId="0" borderId="0" xfId="0" applyAlignment="1">
      <alignment horizontal="center"/>
    </xf>
    <xf numFmtId="17" fontId="0" fillId="0" borderId="7" xfId="0" applyNumberFormat="1" applyBorder="1" applyAlignment="1">
      <alignment horizontal="center"/>
    </xf>
    <xf numFmtId="0" fontId="0" fillId="0" borderId="12" xfId="0" applyBorder="1" applyAlignment="1">
      <alignment horizontal="center"/>
    </xf>
    <xf numFmtId="17" fontId="0" fillId="0" borderId="13" xfId="0" applyNumberFormat="1" applyBorder="1" applyAlignment="1">
      <alignment horizontal="center"/>
    </xf>
    <xf numFmtId="0" fontId="0" fillId="0" borderId="9" xfId="0" applyBorder="1" applyAlignment="1">
      <alignment horizontal="center"/>
    </xf>
    <xf numFmtId="17" fontId="0" fillId="0" borderId="10" xfId="0" applyNumberFormat="1"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0" borderId="4" xfId="0" applyBorder="1" applyAlignment="1">
      <alignment horizontal="center"/>
    </xf>
    <xf numFmtId="0" fontId="1" fillId="0" borderId="1" xfId="0" applyFont="1" applyBorder="1" applyAlignment="1">
      <alignment horizontal="center"/>
    </xf>
    <xf numFmtId="0" fontId="1" fillId="0" borderId="1" xfId="0" applyFont="1" applyBorder="1"/>
    <xf numFmtId="0" fontId="0" fillId="0" borderId="11" xfId="0" applyBorder="1"/>
    <xf numFmtId="0" fontId="0" fillId="0" borderId="18" xfId="0" applyBorder="1"/>
    <xf numFmtId="0" fontId="0" fillId="0" borderId="4" xfId="0" applyBorder="1"/>
    <xf numFmtId="0" fontId="0" fillId="0" borderId="11" xfId="0" quotePrefix="1" applyBorder="1"/>
    <xf numFmtId="0" fontId="0" fillId="0" borderId="18" xfId="0" quotePrefix="1" applyBorder="1"/>
    <xf numFmtId="17" fontId="14" fillId="0" borderId="1" xfId="0" applyNumberFormat="1" applyFont="1" applyBorder="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vertical="center"/>
    </xf>
    <xf numFmtId="0" fontId="15" fillId="0" borderId="0" xfId="0" applyFont="1"/>
    <xf numFmtId="0" fontId="16" fillId="0" borderId="0" xfId="0" applyFont="1"/>
    <xf numFmtId="0" fontId="1" fillId="0" borderId="0" xfId="0" applyFont="1" applyAlignment="1">
      <alignment horizontal="center" vertical="center"/>
    </xf>
    <xf numFmtId="0" fontId="17" fillId="0" borderId="0" xfId="0" applyFont="1" applyAlignment="1">
      <alignment horizontal="left"/>
    </xf>
    <xf numFmtId="0" fontId="1" fillId="0" borderId="0" xfId="0" applyFont="1"/>
    <xf numFmtId="9" fontId="0" fillId="0" borderId="0" xfId="0" applyNumberFormat="1"/>
    <xf numFmtId="9" fontId="0" fillId="0" borderId="0" xfId="1" applyFont="1"/>
    <xf numFmtId="167" fontId="0" fillId="0" borderId="0" xfId="1" applyNumberFormat="1" applyFont="1"/>
    <xf numFmtId="0" fontId="10" fillId="0" borderId="0" xfId="0" applyFont="1"/>
    <xf numFmtId="0" fontId="18" fillId="0" borderId="0" xfId="0" applyFont="1" applyAlignment="1">
      <alignment wrapText="1"/>
    </xf>
    <xf numFmtId="168" fontId="23" fillId="0" borderId="0" xfId="2" applyNumberFormat="1" applyFont="1" applyBorder="1" applyAlignment="1">
      <alignment horizontal="center" vertical="center"/>
    </xf>
    <xf numFmtId="0" fontId="23" fillId="0" borderId="0" xfId="0" applyFont="1" applyAlignment="1">
      <alignment horizontal="center" vertical="center"/>
    </xf>
    <xf numFmtId="168" fontId="23" fillId="0" borderId="0" xfId="2" applyNumberFormat="1" applyFont="1" applyBorder="1" applyAlignment="1">
      <alignment horizontal="left"/>
    </xf>
    <xf numFmtId="0" fontId="0" fillId="5" borderId="0" xfId="0" applyFill="1"/>
    <xf numFmtId="0" fontId="0" fillId="6" borderId="0" xfId="0" applyFill="1"/>
    <xf numFmtId="0" fontId="0" fillId="7" borderId="0" xfId="0" applyFill="1"/>
    <xf numFmtId="0" fontId="0" fillId="8" borderId="0" xfId="0" applyFill="1"/>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9" borderId="0" xfId="0" applyFill="1"/>
    <xf numFmtId="0" fontId="5"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9" fontId="1" fillId="0" borderId="1" xfId="0" applyNumberFormat="1" applyFont="1" applyBorder="1" applyAlignment="1">
      <alignment horizontal="center"/>
    </xf>
    <xf numFmtId="0" fontId="0" fillId="18" borderId="0" xfId="0" applyFill="1"/>
    <xf numFmtId="0" fontId="0" fillId="19" borderId="0" xfId="0" applyFill="1"/>
    <xf numFmtId="0" fontId="0" fillId="20" borderId="0" xfId="0" applyFill="1"/>
    <xf numFmtId="0" fontId="25" fillId="0" borderId="0" xfId="0" applyFont="1"/>
    <xf numFmtId="0" fontId="26" fillId="0" borderId="0" xfId="0" applyFont="1"/>
    <xf numFmtId="0" fontId="24" fillId="0" borderId="0" xfId="0" applyFont="1" applyAlignment="1">
      <alignment vertical="center"/>
    </xf>
    <xf numFmtId="0" fontId="22" fillId="0" borderId="0" xfId="0" applyFont="1" applyAlignment="1">
      <alignment horizontal="center" vertical="center" wrapText="1"/>
    </xf>
    <xf numFmtId="14" fontId="0" fillId="0" borderId="0" xfId="0" applyNumberFormat="1"/>
    <xf numFmtId="169" fontId="0" fillId="0" borderId="0" xfId="0" applyNumberFormat="1"/>
    <xf numFmtId="169" fontId="0" fillId="0" borderId="0" xfId="0" applyNumberFormat="1" applyAlignment="1">
      <alignment horizontal="center"/>
    </xf>
    <xf numFmtId="169" fontId="0" fillId="0" borderId="0" xfId="0" quotePrefix="1" applyNumberFormat="1" applyAlignment="1">
      <alignment horizontal="center"/>
    </xf>
    <xf numFmtId="169" fontId="0" fillId="0" borderId="0" xfId="0" applyNumberFormat="1" applyAlignment="1">
      <alignment horizontal="right"/>
    </xf>
    <xf numFmtId="0" fontId="1" fillId="22" borderId="28" xfId="0" applyFont="1" applyFill="1" applyBorder="1"/>
    <xf numFmtId="169" fontId="23" fillId="0" borderId="0" xfId="0" applyNumberFormat="1" applyFont="1" applyAlignment="1">
      <alignment horizontal="center"/>
    </xf>
    <xf numFmtId="9" fontId="23" fillId="0" borderId="0" xfId="1" applyFont="1" applyBorder="1" applyAlignment="1">
      <alignment horizontal="center" vertical="center"/>
    </xf>
    <xf numFmtId="0" fontId="23" fillId="0" borderId="0" xfId="0" applyFont="1" applyAlignment="1">
      <alignment horizontal="center" vertical="center" wrapText="1"/>
    </xf>
    <xf numFmtId="9" fontId="23" fillId="0" borderId="0" xfId="1" applyFont="1" applyBorder="1" applyAlignment="1">
      <alignment horizontal="center"/>
    </xf>
    <xf numFmtId="0" fontId="18" fillId="0" borderId="0" xfId="0" applyFont="1" applyAlignment="1">
      <alignment horizontal="center" wrapText="1"/>
    </xf>
    <xf numFmtId="0" fontId="1" fillId="0" borderId="0" xfId="0" applyFont="1" applyAlignment="1">
      <alignment horizontal="center"/>
    </xf>
    <xf numFmtId="17" fontId="0" fillId="0" borderId="0" xfId="0" applyNumberFormat="1" applyAlignment="1">
      <alignment horizontal="center"/>
    </xf>
    <xf numFmtId="0" fontId="18" fillId="0" borderId="0" xfId="0" applyFont="1" applyAlignment="1">
      <alignment horizontal="center"/>
    </xf>
    <xf numFmtId="0" fontId="23" fillId="0" borderId="0" xfId="0" applyFont="1" applyAlignment="1">
      <alignment vertical="center" wrapText="1"/>
    </xf>
    <xf numFmtId="0" fontId="0" fillId="18" borderId="40" xfId="0" applyFill="1" applyBorder="1"/>
    <xf numFmtId="0" fontId="0" fillId="18" borderId="41" xfId="0" applyFill="1" applyBorder="1"/>
    <xf numFmtId="0" fontId="0" fillId="18" borderId="39" xfId="0" applyFill="1" applyBorder="1"/>
    <xf numFmtId="0" fontId="0" fillId="18" borderId="38" xfId="0" applyFill="1" applyBorder="1"/>
    <xf numFmtId="0" fontId="0" fillId="18" borderId="48" xfId="0" applyFill="1" applyBorder="1"/>
    <xf numFmtId="0" fontId="0" fillId="18" borderId="49" xfId="0" applyFill="1" applyBorder="1"/>
    <xf numFmtId="0" fontId="13" fillId="0" borderId="0" xfId="0" applyFont="1" applyAlignment="1">
      <alignment vertical="center"/>
    </xf>
    <xf numFmtId="0" fontId="3" fillId="6" borderId="1" xfId="0" applyFont="1" applyFill="1" applyBorder="1" applyAlignment="1" applyProtection="1">
      <alignment horizontal="center"/>
      <protection locked="0"/>
    </xf>
    <xf numFmtId="0" fontId="0" fillId="0" borderId="0" xfId="0" applyAlignment="1">
      <alignment horizontal="right"/>
    </xf>
    <xf numFmtId="0" fontId="28" fillId="0" borderId="0" xfId="3"/>
    <xf numFmtId="0" fontId="29" fillId="0" borderId="0" xfId="3" applyFont="1"/>
    <xf numFmtId="0" fontId="30" fillId="0" borderId="0" xfId="0" applyFont="1"/>
    <xf numFmtId="0" fontId="31" fillId="0" borderId="0" xfId="0" applyFont="1"/>
    <xf numFmtId="49" fontId="30" fillId="0" borderId="0" xfId="0" applyNumberFormat="1" applyFont="1"/>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0" fillId="0" borderId="55" xfId="0" applyBorder="1"/>
    <xf numFmtId="0" fontId="0" fillId="0" borderId="56" xfId="0" applyBorder="1"/>
    <xf numFmtId="0" fontId="18" fillId="0" borderId="57" xfId="0" applyFont="1" applyBorder="1" applyAlignment="1">
      <alignment horizontal="center"/>
    </xf>
    <xf numFmtId="0" fontId="18" fillId="0" borderId="58" xfId="0" applyFont="1" applyBorder="1" applyAlignment="1">
      <alignment horizontal="center"/>
    </xf>
    <xf numFmtId="0" fontId="20" fillId="0" borderId="57" xfId="0" applyFont="1" applyBorder="1" applyAlignment="1">
      <alignment wrapText="1"/>
    </xf>
    <xf numFmtId="0" fontId="0" fillId="0" borderId="58" xfId="0" applyBorder="1"/>
    <xf numFmtId="0" fontId="0" fillId="0" borderId="57" xfId="0" applyBorder="1"/>
    <xf numFmtId="0" fontId="0" fillId="0" borderId="59" xfId="0" applyBorder="1"/>
    <xf numFmtId="0" fontId="0" fillId="0" borderId="60" xfId="0" applyBorder="1"/>
    <xf numFmtId="0" fontId="0" fillId="0" borderId="61" xfId="0" applyBorder="1"/>
    <xf numFmtId="0" fontId="18" fillId="0" borderId="57" xfId="0" applyFont="1" applyBorder="1" applyAlignment="1">
      <alignment horizontal="center" wrapText="1"/>
    </xf>
    <xf numFmtId="0" fontId="18" fillId="0" borderId="58" xfId="0" applyFont="1" applyBorder="1" applyAlignment="1">
      <alignment horizontal="center" wrapText="1"/>
    </xf>
    <xf numFmtId="169" fontId="23" fillId="0" borderId="60" xfId="0" applyNumberFormat="1" applyFont="1" applyBorder="1" applyAlignment="1">
      <alignment horizontal="center"/>
    </xf>
    <xf numFmtId="168" fontId="23" fillId="0" borderId="60" xfId="2" applyNumberFormat="1" applyFont="1" applyBorder="1" applyAlignment="1">
      <alignment horizontal="left"/>
    </xf>
    <xf numFmtId="0" fontId="23" fillId="0" borderId="60" xfId="0" applyFont="1" applyBorder="1" applyAlignment="1">
      <alignment horizontal="center" vertical="center"/>
    </xf>
    <xf numFmtId="168" fontId="23" fillId="0" borderId="60" xfId="2" applyNumberFormat="1" applyFont="1" applyBorder="1" applyAlignment="1">
      <alignment horizontal="center" vertical="center"/>
    </xf>
    <xf numFmtId="9" fontId="23" fillId="0" borderId="60" xfId="1" applyFont="1" applyBorder="1" applyAlignment="1">
      <alignment horizontal="center" vertical="center"/>
    </xf>
    <xf numFmtId="0" fontId="39" fillId="0" borderId="0" xfId="0" applyFont="1"/>
    <xf numFmtId="0" fontId="37" fillId="0" borderId="0" xfId="0" applyFont="1" applyAlignment="1">
      <alignment horizontal="center" vertical="center"/>
    </xf>
    <xf numFmtId="0" fontId="44" fillId="0" borderId="0" xfId="0" applyFont="1" applyAlignment="1">
      <alignment horizontal="left" vertical="top" wrapText="1"/>
    </xf>
    <xf numFmtId="0" fontId="32" fillId="0" borderId="0" xfId="0" applyFont="1" applyAlignment="1">
      <alignment horizontal="center" vertical="center"/>
    </xf>
    <xf numFmtId="0" fontId="25" fillId="0" borderId="0" xfId="0" applyFont="1" applyAlignment="1">
      <alignment horizontal="left" vertical="top" wrapText="1"/>
    </xf>
    <xf numFmtId="0" fontId="39" fillId="0" borderId="0" xfId="0" applyFont="1" applyAlignment="1">
      <alignment horizontal="center"/>
    </xf>
    <xf numFmtId="0" fontId="39" fillId="0" borderId="0" xfId="0" applyFont="1" applyAlignment="1">
      <alignment horizontal="center" vertical="center"/>
    </xf>
    <xf numFmtId="0" fontId="42" fillId="0" borderId="0" xfId="0" applyFont="1"/>
    <xf numFmtId="0" fontId="46" fillId="0" borderId="0" xfId="0" applyFont="1"/>
    <xf numFmtId="0" fontId="46" fillId="0" borderId="0" xfId="0" applyFont="1" applyAlignment="1">
      <alignment horizontal="center"/>
    </xf>
    <xf numFmtId="0" fontId="42" fillId="0" borderId="0" xfId="0" applyFont="1" applyAlignment="1">
      <alignment horizontal="center"/>
    </xf>
    <xf numFmtId="169" fontId="46" fillId="0" borderId="0" xfId="0" applyNumberFormat="1" applyFont="1"/>
    <xf numFmtId="167" fontId="46" fillId="0" borderId="0" xfId="1" applyNumberFormat="1" applyFont="1"/>
    <xf numFmtId="0" fontId="25" fillId="0" borderId="0" xfId="0" applyFont="1" applyAlignment="1">
      <alignment vertical="top" wrapText="1"/>
    </xf>
    <xf numFmtId="0" fontId="32" fillId="0" borderId="0" xfId="0" applyFont="1" applyAlignment="1">
      <alignment vertical="center"/>
    </xf>
    <xf numFmtId="0" fontId="39" fillId="0" borderId="0" xfId="0" applyFont="1" applyAlignment="1">
      <alignment horizontal="left" vertical="top" wrapText="1"/>
    </xf>
    <xf numFmtId="17" fontId="39" fillId="0" borderId="0" xfId="0" applyNumberFormat="1" applyFont="1" applyAlignment="1">
      <alignment horizontal="left" vertical="top" wrapText="1"/>
    </xf>
    <xf numFmtId="0" fontId="48" fillId="0" borderId="0" xfId="0" applyFont="1"/>
    <xf numFmtId="0" fontId="49" fillId="0" borderId="0" xfId="0" applyFont="1"/>
    <xf numFmtId="0" fontId="33" fillId="21" borderId="29" xfId="0" applyFont="1" applyFill="1" applyBorder="1" applyAlignment="1">
      <alignment horizontal="center" vertical="center" wrapText="1"/>
    </xf>
    <xf numFmtId="0" fontId="28" fillId="0" borderId="0" xfId="3" applyAlignment="1">
      <alignment vertical="center"/>
    </xf>
    <xf numFmtId="0" fontId="33" fillId="0" borderId="0" xfId="0" applyFont="1" applyAlignment="1">
      <alignment horizontal="left"/>
    </xf>
    <xf numFmtId="0" fontId="54" fillId="0" borderId="65" xfId="0" applyFont="1" applyBorder="1" applyAlignment="1">
      <alignment vertical="top" wrapText="1"/>
    </xf>
    <xf numFmtId="0" fontId="54" fillId="0" borderId="0" xfId="0" applyFont="1" applyAlignment="1">
      <alignment vertical="top" wrapText="1"/>
    </xf>
    <xf numFmtId="0" fontId="54" fillId="0" borderId="66" xfId="0" applyFont="1" applyBorder="1" applyAlignment="1">
      <alignment vertical="top" wrapText="1"/>
    </xf>
    <xf numFmtId="0" fontId="54" fillId="0" borderId="65" xfId="0" applyFont="1" applyBorder="1"/>
    <xf numFmtId="0" fontId="54" fillId="0" borderId="0" xfId="0" applyFont="1"/>
    <xf numFmtId="0" fontId="54" fillId="0" borderId="66" xfId="0" applyFont="1" applyBorder="1"/>
    <xf numFmtId="0" fontId="25" fillId="0" borderId="14" xfId="0" applyFont="1" applyBorder="1" applyAlignment="1">
      <alignment horizontal="center"/>
    </xf>
    <xf numFmtId="0" fontId="25" fillId="0" borderId="1" xfId="0" applyFont="1" applyBorder="1" applyAlignment="1">
      <alignment horizontal="center" vertical="center"/>
    </xf>
    <xf numFmtId="17" fontId="25" fillId="0" borderId="18" xfId="0" applyNumberFormat="1" applyFont="1" applyBorder="1" applyAlignment="1">
      <alignment horizontal="center"/>
    </xf>
    <xf numFmtId="17" fontId="55" fillId="4" borderId="1" xfId="0" applyNumberFormat="1" applyFont="1" applyFill="1" applyBorder="1" applyAlignment="1">
      <alignment horizontal="center" vertical="center"/>
    </xf>
    <xf numFmtId="17" fontId="55" fillId="19" borderId="11" xfId="0" applyNumberFormat="1" applyFont="1" applyFill="1" applyBorder="1" applyAlignment="1">
      <alignment horizontal="center"/>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57" fillId="19" borderId="26" xfId="0" applyFont="1" applyFill="1" applyBorder="1" applyAlignment="1">
      <alignment horizontal="center" vertical="center"/>
    </xf>
    <xf numFmtId="0" fontId="25" fillId="3" borderId="26" xfId="0" applyFont="1" applyFill="1" applyBorder="1" applyAlignment="1">
      <alignment horizontal="center" vertical="center"/>
    </xf>
    <xf numFmtId="0" fontId="25" fillId="3" borderId="2" xfId="0" applyFont="1" applyFill="1" applyBorder="1" applyAlignment="1">
      <alignment horizontal="center" vertical="center"/>
    </xf>
    <xf numFmtId="17" fontId="55" fillId="19" borderId="18" xfId="0" applyNumberFormat="1" applyFont="1" applyFill="1" applyBorder="1" applyAlignment="1">
      <alignment horizontal="center"/>
    </xf>
    <xf numFmtId="0" fontId="25" fillId="2" borderId="27" xfId="0" applyFont="1" applyFill="1" applyBorder="1" applyAlignment="1">
      <alignment horizontal="center" vertical="center"/>
    </xf>
    <xf numFmtId="0" fontId="25" fillId="0" borderId="0" xfId="0" applyFont="1" applyAlignment="1">
      <alignment horizontal="center" vertical="center"/>
    </xf>
    <xf numFmtId="0" fontId="57" fillId="19" borderId="0" xfId="0" applyFont="1" applyFill="1" applyAlignment="1">
      <alignment horizontal="center" vertical="center"/>
    </xf>
    <xf numFmtId="0" fontId="25" fillId="3" borderId="0" xfId="0" applyFont="1" applyFill="1" applyAlignment="1">
      <alignment horizontal="center" vertical="center"/>
    </xf>
    <xf numFmtId="0" fontId="25" fillId="3" borderId="24" xfId="0" applyFont="1" applyFill="1" applyBorder="1" applyAlignment="1">
      <alignment horizontal="center" vertical="center"/>
    </xf>
    <xf numFmtId="0" fontId="25" fillId="3" borderId="27" xfId="0" applyFont="1" applyFill="1" applyBorder="1" applyAlignment="1">
      <alignment horizontal="center" vertical="center"/>
    </xf>
    <xf numFmtId="17" fontId="55" fillId="19" borderId="4" xfId="0" applyNumberFormat="1" applyFont="1" applyFill="1" applyBorder="1" applyAlignment="1">
      <alignment horizontal="center"/>
    </xf>
    <xf numFmtId="0" fontId="25" fillId="3" borderId="22" xfId="0" applyFont="1" applyFill="1" applyBorder="1" applyAlignment="1">
      <alignment horizontal="center" vertical="center"/>
    </xf>
    <xf numFmtId="0" fontId="25" fillId="3" borderId="3" xfId="0" applyFont="1" applyFill="1" applyBorder="1" applyAlignment="1">
      <alignment horizontal="center" vertical="center"/>
    </xf>
    <xf numFmtId="0" fontId="25" fillId="0" borderId="3" xfId="0" applyFont="1" applyBorder="1" applyAlignment="1">
      <alignment horizontal="center" vertical="center"/>
    </xf>
    <xf numFmtId="0" fontId="57" fillId="19" borderId="23" xfId="0" applyFont="1" applyFill="1" applyBorder="1" applyAlignment="1">
      <alignment horizontal="center" vertical="center"/>
    </xf>
    <xf numFmtId="0" fontId="25" fillId="0" borderId="1" xfId="0" applyFont="1" applyBorder="1" applyAlignment="1">
      <alignment horizont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57" fillId="19"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17" xfId="0" applyFont="1" applyBorder="1" applyAlignment="1">
      <alignment horizontal="center" vertical="center"/>
    </xf>
    <xf numFmtId="0" fontId="25" fillId="3" borderId="21" xfId="0" applyFont="1" applyFill="1" applyBorder="1" applyAlignment="1">
      <alignment horizontal="center" vertical="center"/>
    </xf>
    <xf numFmtId="0" fontId="25" fillId="3" borderId="17" xfId="0" applyFont="1" applyFill="1" applyBorder="1" applyAlignment="1">
      <alignment horizontal="center" vertical="center"/>
    </xf>
    <xf numFmtId="0" fontId="10" fillId="0" borderId="0" xfId="0" pivotButton="1" applyFont="1"/>
    <xf numFmtId="0" fontId="52" fillId="0" borderId="0" xfId="3" applyFont="1" applyAlignment="1" applyProtection="1">
      <alignment horizontal="right"/>
      <protection locked="0"/>
    </xf>
    <xf numFmtId="1" fontId="0" fillId="0" borderId="0" xfId="0" applyNumberFormat="1"/>
    <xf numFmtId="0" fontId="58" fillId="0" borderId="0" xfId="0" applyFont="1"/>
    <xf numFmtId="0" fontId="58" fillId="0" borderId="0" xfId="0" applyFont="1" applyAlignment="1">
      <alignment horizontal="center"/>
    </xf>
    <xf numFmtId="0" fontId="59" fillId="0" borderId="0" xfId="0" applyFont="1" applyAlignment="1">
      <alignment horizontal="center" vertical="center"/>
    </xf>
    <xf numFmtId="0" fontId="40" fillId="0" borderId="0" xfId="3" applyFont="1" applyAlignment="1" applyProtection="1">
      <alignment horizontal="left"/>
    </xf>
    <xf numFmtId="0" fontId="40" fillId="0" borderId="0" xfId="3" applyFont="1" applyFill="1" applyBorder="1" applyAlignment="1" applyProtection="1">
      <alignment vertical="center"/>
    </xf>
    <xf numFmtId="0" fontId="60" fillId="0" borderId="0" xfId="0" applyFont="1" applyAlignment="1">
      <alignment vertical="top" wrapText="1"/>
    </xf>
    <xf numFmtId="0" fontId="39" fillId="0" borderId="0" xfId="0" applyFont="1" applyAlignment="1">
      <alignment vertical="center"/>
    </xf>
    <xf numFmtId="0" fontId="39" fillId="0" borderId="0" xfId="0" applyFont="1" applyAlignment="1">
      <alignment vertical="top" wrapText="1"/>
    </xf>
    <xf numFmtId="164" fontId="0" fillId="0" borderId="0" xfId="0" applyNumberFormat="1" applyAlignment="1">
      <alignment horizontal="right"/>
    </xf>
    <xf numFmtId="3" fontId="0" fillId="0" borderId="0" xfId="0" applyNumberFormat="1" applyAlignment="1">
      <alignment horizontal="right"/>
    </xf>
    <xf numFmtId="169" fontId="0" fillId="0" borderId="0" xfId="0" applyNumberFormat="1" applyAlignment="1">
      <alignment horizontal="left"/>
    </xf>
    <xf numFmtId="167" fontId="0" fillId="0" borderId="0" xfId="0" applyNumberFormat="1" applyAlignment="1">
      <alignment horizontal="right"/>
    </xf>
    <xf numFmtId="9" fontId="0" fillId="0" borderId="0" xfId="0" applyNumberFormat="1" applyAlignment="1">
      <alignment horizontal="right"/>
    </xf>
    <xf numFmtId="0" fontId="10" fillId="0" borderId="0" xfId="0" applyFont="1" applyAlignment="1">
      <alignment horizontal="left"/>
    </xf>
    <xf numFmtId="0" fontId="39" fillId="0" borderId="37" xfId="0" applyFont="1" applyBorder="1" applyAlignment="1">
      <alignment horizontal="center" vertical="top" wrapText="1"/>
    </xf>
    <xf numFmtId="0" fontId="39" fillId="0" borderId="35" xfId="0" applyFont="1" applyBorder="1" applyAlignment="1">
      <alignment horizontal="center" vertical="top" wrapText="1"/>
    </xf>
    <xf numFmtId="0" fontId="39" fillId="0" borderId="30" xfId="0" applyFont="1" applyBorder="1" applyAlignment="1">
      <alignment horizontal="center" vertical="top" wrapText="1"/>
    </xf>
    <xf numFmtId="0" fontId="39" fillId="0" borderId="31" xfId="0" applyFont="1" applyBorder="1" applyAlignment="1">
      <alignment horizontal="center" vertical="top" wrapText="1"/>
    </xf>
    <xf numFmtId="0" fontId="39" fillId="0" borderId="32" xfId="0" applyFont="1" applyBorder="1" applyAlignment="1">
      <alignment horizontal="center" vertical="top" wrapText="1"/>
    </xf>
    <xf numFmtId="0" fontId="39" fillId="0" borderId="36" xfId="0" applyFont="1" applyBorder="1" applyAlignment="1">
      <alignment horizontal="center" vertical="top" wrapText="1"/>
    </xf>
    <xf numFmtId="0" fontId="39" fillId="0" borderId="0" xfId="0" applyFont="1" applyAlignment="1">
      <alignment horizontal="center" vertical="top" wrapText="1"/>
    </xf>
    <xf numFmtId="0" fontId="39" fillId="0" borderId="33" xfId="0" applyFont="1" applyBorder="1" applyAlignment="1">
      <alignment horizontal="center" vertical="top" wrapText="1"/>
    </xf>
    <xf numFmtId="0" fontId="39" fillId="0" borderId="34" xfId="0" applyFont="1" applyBorder="1" applyAlignment="1">
      <alignment horizontal="center" vertical="top" wrapText="1"/>
    </xf>
    <xf numFmtId="0" fontId="0" fillId="0" borderId="0" xfId="0" applyAlignment="1">
      <alignment horizontal="left"/>
    </xf>
    <xf numFmtId="0" fontId="52" fillId="0" borderId="0" xfId="3" applyFont="1" applyAlignment="1" applyProtection="1">
      <alignment vertical="top" wrapText="1"/>
    </xf>
    <xf numFmtId="0" fontId="40" fillId="0" borderId="0" xfId="3" applyFont="1" applyAlignment="1" applyProtection="1">
      <alignment horizontal="right" wrapText="1"/>
      <protection locked="0"/>
    </xf>
    <xf numFmtId="0" fontId="40" fillId="0" borderId="0" xfId="3" applyFont="1" applyAlignment="1" applyProtection="1">
      <alignment vertical="top" wrapText="1"/>
    </xf>
    <xf numFmtId="168" fontId="39" fillId="0" borderId="31" xfId="2" applyNumberFormat="1" applyFont="1" applyBorder="1" applyAlignment="1">
      <alignment horizontal="center" vertical="top" wrapText="1"/>
    </xf>
    <xf numFmtId="168" fontId="39" fillId="0" borderId="31" xfId="2" quotePrefix="1" applyNumberFormat="1" applyFont="1" applyBorder="1" applyAlignment="1">
      <alignment horizontal="center" vertical="top" wrapText="1"/>
    </xf>
    <xf numFmtId="168" fontId="39" fillId="0" borderId="0" xfId="2" applyNumberFormat="1" applyFont="1" applyBorder="1" applyAlignment="1">
      <alignment horizontal="center" vertical="top" wrapText="1"/>
    </xf>
    <xf numFmtId="168" fontId="39" fillId="0" borderId="34" xfId="2" applyNumberFormat="1" applyFont="1" applyBorder="1" applyAlignment="1">
      <alignment horizontal="center" vertical="top" wrapText="1"/>
    </xf>
    <xf numFmtId="169" fontId="0" fillId="18" borderId="38" xfId="0" applyNumberFormat="1" applyFill="1" applyBorder="1" applyAlignment="1">
      <alignment wrapText="1"/>
    </xf>
    <xf numFmtId="0" fontId="0" fillId="18" borderId="39" xfId="0" applyFill="1" applyBorder="1" applyAlignment="1">
      <alignment wrapText="1"/>
    </xf>
    <xf numFmtId="0" fontId="0" fillId="18" borderId="40" xfId="0" applyFill="1" applyBorder="1" applyAlignment="1">
      <alignment wrapText="1"/>
    </xf>
    <xf numFmtId="0" fontId="0" fillId="18" borderId="41" xfId="0" applyFill="1" applyBorder="1" applyAlignment="1">
      <alignment wrapText="1"/>
    </xf>
    <xf numFmtId="0" fontId="0" fillId="0" borderId="0" xfId="0" applyAlignment="1">
      <alignment wrapText="1"/>
    </xf>
    <xf numFmtId="0" fontId="0" fillId="18" borderId="38" xfId="0" applyFill="1" applyBorder="1" applyAlignment="1">
      <alignment wrapText="1"/>
    </xf>
    <xf numFmtId="0" fontId="1" fillId="22" borderId="39" xfId="0" applyFont="1" applyFill="1" applyBorder="1" applyAlignment="1">
      <alignment wrapText="1"/>
    </xf>
    <xf numFmtId="0" fontId="1" fillId="22" borderId="40" xfId="0" applyFont="1" applyFill="1" applyBorder="1" applyAlignment="1">
      <alignment wrapText="1"/>
    </xf>
    <xf numFmtId="0" fontId="1" fillId="22" borderId="41" xfId="0" applyFont="1" applyFill="1" applyBorder="1" applyAlignment="1">
      <alignment wrapText="1"/>
    </xf>
    <xf numFmtId="169" fontId="0" fillId="0" borderId="0" xfId="0" applyNumberFormat="1" applyAlignment="1">
      <alignment wrapText="1"/>
    </xf>
    <xf numFmtId="0" fontId="61" fillId="0" borderId="0" xfId="0" applyFont="1"/>
    <xf numFmtId="0" fontId="64" fillId="0" borderId="0" xfId="0" applyFont="1"/>
    <xf numFmtId="0" fontId="40" fillId="0" borderId="0" xfId="3" applyFont="1" applyAlignment="1" applyProtection="1">
      <alignment horizontal="left"/>
      <protection locked="0"/>
    </xf>
    <xf numFmtId="0" fontId="39" fillId="0" borderId="0" xfId="0" applyFont="1" applyAlignment="1">
      <alignment horizontal="left" vertical="center"/>
    </xf>
    <xf numFmtId="0" fontId="0" fillId="0" borderId="0" xfId="0" applyNumberFormat="1"/>
    <xf numFmtId="0" fontId="0" fillId="0" borderId="0" xfId="0" applyNumberFormat="1" applyAlignment="1">
      <alignment horizontal="right"/>
    </xf>
    <xf numFmtId="0" fontId="66" fillId="0" borderId="0" xfId="0" applyFont="1" applyAlignment="1">
      <alignment horizontal="center" vertical="center"/>
    </xf>
    <xf numFmtId="169" fontId="66" fillId="0" borderId="0" xfId="0" applyNumberFormat="1" applyFont="1" applyAlignment="1">
      <alignment horizontal="center" vertical="center"/>
    </xf>
    <xf numFmtId="0" fontId="66" fillId="0" borderId="0" xfId="0" applyNumberFormat="1" applyFont="1" applyAlignment="1">
      <alignment horizontal="center" vertical="center"/>
    </xf>
    <xf numFmtId="166" fontId="66" fillId="0" borderId="0" xfId="0" applyNumberFormat="1" applyFont="1" applyAlignment="1">
      <alignment horizontal="center" vertical="center"/>
    </xf>
    <xf numFmtId="0" fontId="66" fillId="12" borderId="53" xfId="0" applyFont="1" applyFill="1" applyBorder="1" applyAlignment="1">
      <alignment horizontal="center" vertical="center" wrapText="1"/>
    </xf>
    <xf numFmtId="0" fontId="66" fillId="12" borderId="29" xfId="0" applyFont="1" applyFill="1" applyBorder="1" applyAlignment="1">
      <alignment horizontal="center" vertical="center" wrapText="1"/>
    </xf>
    <xf numFmtId="0" fontId="39" fillId="0" borderId="0" xfId="0" applyFont="1" applyAlignment="1">
      <alignment horizontal="left" vertical="top" wrapText="1"/>
    </xf>
    <xf numFmtId="0" fontId="40" fillId="0" borderId="0" xfId="3" applyFont="1" applyAlignment="1" applyProtection="1">
      <alignment horizontal="left"/>
      <protection locked="0"/>
    </xf>
    <xf numFmtId="0" fontId="39" fillId="0" borderId="0" xfId="0" applyFont="1" applyAlignment="1">
      <alignment horizontal="left" wrapText="1"/>
    </xf>
    <xf numFmtId="0" fontId="39" fillId="0" borderId="0" xfId="0" applyFont="1" applyAlignment="1">
      <alignment horizontal="left" vertical="center"/>
    </xf>
    <xf numFmtId="0" fontId="39" fillId="0" borderId="70" xfId="0" applyFont="1" applyBorder="1" applyAlignment="1">
      <alignment horizontal="center" vertical="center" wrapText="1"/>
    </xf>
    <xf numFmtId="0" fontId="39" fillId="0" borderId="71" xfId="0" applyFont="1" applyBorder="1" applyAlignment="1">
      <alignment horizontal="center" vertical="center" wrapText="1"/>
    </xf>
    <xf numFmtId="0" fontId="39" fillId="0" borderId="70" xfId="0" applyFont="1" applyBorder="1" applyAlignment="1">
      <alignment horizontal="center" vertical="center"/>
    </xf>
    <xf numFmtId="0" fontId="39" fillId="0" borderId="71" xfId="0" applyFont="1" applyBorder="1" applyAlignment="1">
      <alignment horizontal="center" vertical="center"/>
    </xf>
    <xf numFmtId="17" fontId="36" fillId="0" borderId="0" xfId="0" applyNumberFormat="1" applyFont="1" applyAlignment="1">
      <alignment horizontal="left" vertical="top" wrapText="1"/>
    </xf>
    <xf numFmtId="17" fontId="39" fillId="0" borderId="0" xfId="0" applyNumberFormat="1" applyFont="1" applyAlignment="1">
      <alignment horizontal="left" vertical="top" wrapText="1"/>
    </xf>
    <xf numFmtId="0" fontId="59" fillId="6" borderId="0" xfId="0" applyFont="1" applyFill="1" applyAlignment="1">
      <alignment horizontal="center" vertical="center" wrapText="1"/>
    </xf>
    <xf numFmtId="0" fontId="43" fillId="6" borderId="0" xfId="0" applyFont="1" applyFill="1" applyAlignment="1">
      <alignment horizontal="center" vertical="center"/>
    </xf>
    <xf numFmtId="0" fontId="40" fillId="0" borderId="0" xfId="3" applyFont="1" applyAlignment="1" applyProtection="1">
      <alignment horizontal="left" vertical="top" wrapText="1"/>
      <protection locked="0"/>
    </xf>
    <xf numFmtId="0" fontId="47" fillId="0" borderId="70" xfId="0" applyFont="1" applyBorder="1" applyAlignment="1">
      <alignment horizontal="center" vertical="top" wrapText="1"/>
    </xf>
    <xf numFmtId="0" fontId="41" fillId="6" borderId="0" xfId="0" applyFont="1" applyFill="1" applyAlignment="1">
      <alignment horizontal="center" vertical="center" wrapText="1"/>
    </xf>
    <xf numFmtId="0" fontId="28" fillId="0" borderId="0" xfId="3" applyAlignment="1">
      <alignment horizontal="left"/>
    </xf>
    <xf numFmtId="0" fontId="59" fillId="6" borderId="0" xfId="0" applyFont="1" applyFill="1" applyAlignment="1">
      <alignment horizontal="center" vertical="center"/>
    </xf>
    <xf numFmtId="0" fontId="25" fillId="0" borderId="0" xfId="0" applyFont="1" applyAlignment="1">
      <alignment horizontal="left" wrapText="1"/>
    </xf>
    <xf numFmtId="0" fontId="25" fillId="0" borderId="0" xfId="0" applyFont="1" applyAlignment="1">
      <alignment horizontal="left" vertical="top" wrapText="1"/>
    </xf>
    <xf numFmtId="0" fontId="52" fillId="0" borderId="0" xfId="3" applyFont="1" applyAlignment="1" applyProtection="1">
      <alignment horizontal="left" vertical="top" wrapText="1"/>
      <protection locked="0"/>
    </xf>
    <xf numFmtId="0" fontId="52" fillId="0" borderId="0" xfId="3" applyFont="1" applyAlignment="1" applyProtection="1">
      <alignment horizontal="left"/>
      <protection locked="0"/>
    </xf>
    <xf numFmtId="0" fontId="1" fillId="0" borderId="72" xfId="0" applyFont="1" applyBorder="1" applyAlignment="1">
      <alignment horizontal="center"/>
    </xf>
    <xf numFmtId="0" fontId="1" fillId="0" borderId="73" xfId="0" applyFont="1" applyBorder="1" applyAlignment="1">
      <alignment horizontal="center"/>
    </xf>
    <xf numFmtId="0" fontId="1" fillId="0" borderId="74" xfId="0" applyFont="1" applyBorder="1" applyAlignment="1">
      <alignment horizontal="center"/>
    </xf>
    <xf numFmtId="0" fontId="32" fillId="6" borderId="0" xfId="0" applyFont="1" applyFill="1" applyAlignment="1">
      <alignment horizontal="center" vertical="center"/>
    </xf>
    <xf numFmtId="0" fontId="1" fillId="0" borderId="50" xfId="0" applyFont="1" applyBorder="1" applyAlignment="1">
      <alignment horizontal="center"/>
    </xf>
    <xf numFmtId="0" fontId="1" fillId="0" borderId="51" xfId="0" applyFont="1" applyBorder="1" applyAlignment="1">
      <alignment horizontal="center"/>
    </xf>
    <xf numFmtId="0" fontId="1" fillId="0" borderId="52" xfId="0" applyFont="1" applyBorder="1" applyAlignment="1">
      <alignment horizontal="center"/>
    </xf>
    <xf numFmtId="169" fontId="1" fillId="0" borderId="72" xfId="0" quotePrefix="1" applyNumberFormat="1" applyFont="1" applyBorder="1" applyAlignment="1">
      <alignment horizontal="center"/>
    </xf>
    <xf numFmtId="169" fontId="1" fillId="0" borderId="73" xfId="0" quotePrefix="1" applyNumberFormat="1" applyFont="1" applyBorder="1" applyAlignment="1">
      <alignment horizontal="center"/>
    </xf>
    <xf numFmtId="169" fontId="1" fillId="0" borderId="74" xfId="0" quotePrefix="1" applyNumberFormat="1" applyFont="1" applyBorder="1" applyAlignment="1">
      <alignment horizontal="center"/>
    </xf>
    <xf numFmtId="1" fontId="33" fillId="0" borderId="31" xfId="2" applyNumberFormat="1" applyFont="1" applyBorder="1" applyAlignment="1">
      <alignment horizontal="center" vertical="center" wrapText="1"/>
    </xf>
    <xf numFmtId="1" fontId="33" fillId="0" borderId="34" xfId="2" applyNumberFormat="1" applyFont="1" applyBorder="1" applyAlignment="1">
      <alignment horizontal="center" vertical="center" wrapText="1"/>
    </xf>
    <xf numFmtId="167" fontId="34" fillId="0" borderId="31" xfId="1" applyNumberFormat="1" applyFont="1" applyBorder="1" applyAlignment="1">
      <alignment horizontal="center" vertical="center"/>
    </xf>
    <xf numFmtId="167" fontId="34" fillId="0" borderId="34" xfId="1" applyNumberFormat="1" applyFont="1" applyBorder="1" applyAlignment="1">
      <alignment horizontal="center" vertical="center"/>
    </xf>
    <xf numFmtId="0" fontId="39" fillId="0" borderId="32" xfId="0" applyFont="1" applyBorder="1" applyAlignment="1">
      <alignment horizontal="center" vertical="center"/>
    </xf>
    <xf numFmtId="0" fontId="39" fillId="0" borderId="35" xfId="0" applyFont="1" applyBorder="1" applyAlignment="1">
      <alignment horizontal="center" vertical="center"/>
    </xf>
    <xf numFmtId="0" fontId="33" fillId="0" borderId="31" xfId="0" applyFont="1" applyBorder="1" applyAlignment="1">
      <alignment horizontal="center" vertical="center"/>
    </xf>
    <xf numFmtId="0" fontId="33" fillId="0" borderId="34" xfId="0" applyFont="1" applyBorder="1" applyAlignment="1">
      <alignment horizontal="center" vertical="center"/>
    </xf>
    <xf numFmtId="1" fontId="33" fillId="0" borderId="31" xfId="2" applyNumberFormat="1" applyFont="1" applyBorder="1" applyAlignment="1">
      <alignment horizontal="center" vertical="center"/>
    </xf>
    <xf numFmtId="1" fontId="33" fillId="0" borderId="34" xfId="2" applyNumberFormat="1" applyFont="1" applyBorder="1" applyAlignment="1">
      <alignment horizontal="center" vertical="center"/>
    </xf>
    <xf numFmtId="169" fontId="33" fillId="0" borderId="30" xfId="0" applyNumberFormat="1" applyFont="1" applyBorder="1" applyAlignment="1">
      <alignment horizontal="center" vertical="center"/>
    </xf>
    <xf numFmtId="169" fontId="33" fillId="0" borderId="33" xfId="0" applyNumberFormat="1" applyFont="1" applyBorder="1" applyAlignment="1">
      <alignment horizontal="center" vertical="center"/>
    </xf>
    <xf numFmtId="0" fontId="0" fillId="0" borderId="0" xfId="0" applyAlignment="1">
      <alignment horizontal="center"/>
    </xf>
    <xf numFmtId="0" fontId="40" fillId="0" borderId="0" xfId="3" applyFont="1" applyAlignment="1" applyProtection="1">
      <alignment horizontal="right"/>
      <protection locked="0"/>
    </xf>
    <xf numFmtId="0" fontId="35" fillId="0" borderId="57" xfId="0" applyFont="1" applyBorder="1" applyAlignment="1">
      <alignment horizontal="center" wrapText="1"/>
    </xf>
    <xf numFmtId="0" fontId="35" fillId="0" borderId="0" xfId="0" applyFont="1" applyAlignment="1">
      <alignment horizontal="center" wrapText="1"/>
    </xf>
    <xf numFmtId="0" fontId="35" fillId="0" borderId="58" xfId="0" applyFont="1" applyBorder="1" applyAlignment="1">
      <alignment horizontal="center" wrapText="1"/>
    </xf>
    <xf numFmtId="0" fontId="33" fillId="0" borderId="0" xfId="0" applyFont="1" applyAlignment="1">
      <alignment horizontal="left"/>
    </xf>
    <xf numFmtId="0" fontId="35" fillId="0" borderId="57" xfId="0" applyFont="1" applyBorder="1" applyAlignment="1">
      <alignment horizontal="center"/>
    </xf>
    <xf numFmtId="0" fontId="35" fillId="0" borderId="0" xfId="0" applyFont="1" applyAlignment="1">
      <alignment horizontal="center"/>
    </xf>
    <xf numFmtId="0" fontId="35" fillId="0" borderId="58" xfId="0" applyFont="1" applyBorder="1" applyAlignment="1">
      <alignment horizontal="center"/>
    </xf>
    <xf numFmtId="0" fontId="33" fillId="0" borderId="1"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0" fontId="40" fillId="0" borderId="0" xfId="3" applyFont="1" applyAlignment="1" applyProtection="1">
      <alignment horizontal="right" vertical="top" wrapText="1"/>
      <protection locked="0"/>
    </xf>
    <xf numFmtId="169" fontId="33" fillId="0" borderId="32" xfId="0" applyNumberFormat="1" applyFont="1" applyBorder="1" applyAlignment="1">
      <alignment horizontal="center" vertical="center"/>
    </xf>
    <xf numFmtId="169" fontId="33" fillId="0" borderId="36" xfId="0" applyNumberFormat="1" applyFont="1" applyBorder="1" applyAlignment="1">
      <alignment horizontal="center" vertical="center"/>
    </xf>
    <xf numFmtId="169" fontId="33" fillId="0" borderId="37" xfId="0" applyNumberFormat="1" applyFont="1" applyBorder="1" applyAlignment="1">
      <alignment horizontal="center" vertical="center"/>
    </xf>
    <xf numFmtId="169" fontId="33" fillId="0" borderId="35" xfId="0" applyNumberFormat="1" applyFont="1" applyBorder="1" applyAlignment="1">
      <alignment horizontal="center" vertical="center"/>
    </xf>
    <xf numFmtId="0" fontId="0" fillId="0" borderId="30" xfId="0" applyBorder="1" applyAlignment="1">
      <alignment horizontal="center"/>
    </xf>
    <xf numFmtId="0" fontId="0" fillId="0" borderId="32"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33" xfId="0" applyBorder="1" applyAlignment="1">
      <alignment horizontal="center"/>
    </xf>
    <xf numFmtId="0" fontId="0" fillId="0" borderId="35" xfId="0" applyBorder="1" applyAlignment="1">
      <alignment horizontal="center"/>
    </xf>
    <xf numFmtId="0" fontId="39" fillId="0" borderId="32" xfId="0" applyFont="1" applyBorder="1" applyAlignment="1">
      <alignment horizontal="center"/>
    </xf>
    <xf numFmtId="0" fontId="39" fillId="0" borderId="35" xfId="0" applyFont="1" applyBorder="1" applyAlignment="1">
      <alignment horizontal="center"/>
    </xf>
    <xf numFmtId="0" fontId="40" fillId="0" borderId="0" xfId="3" applyFont="1" applyFill="1" applyBorder="1" applyAlignment="1" applyProtection="1">
      <alignment horizontal="right" vertical="center"/>
      <protection locked="0"/>
    </xf>
    <xf numFmtId="0" fontId="0" fillId="0" borderId="0" xfId="0"/>
    <xf numFmtId="0" fontId="54" fillId="0" borderId="65" xfId="0" applyFont="1" applyBorder="1" applyAlignment="1">
      <alignment horizontal="left" vertical="top" wrapText="1"/>
    </xf>
    <xf numFmtId="0" fontId="54" fillId="0" borderId="0" xfId="0" applyFont="1" applyAlignment="1">
      <alignment horizontal="left" vertical="top" wrapText="1"/>
    </xf>
    <xf numFmtId="0" fontId="54" fillId="0" borderId="66" xfId="0" applyFont="1" applyBorder="1" applyAlignment="1">
      <alignment horizontal="left" vertical="top" wrapText="1"/>
    </xf>
    <xf numFmtId="0" fontId="54" fillId="0" borderId="67" xfId="0" applyFont="1" applyBorder="1" applyAlignment="1">
      <alignment horizontal="left"/>
    </xf>
    <xf numFmtId="0" fontId="54" fillId="0" borderId="68" xfId="0" applyFont="1" applyBorder="1" applyAlignment="1">
      <alignment horizontal="left"/>
    </xf>
    <xf numFmtId="0" fontId="54" fillId="0" borderId="69" xfId="0" applyFont="1" applyBorder="1" applyAlignment="1">
      <alignment horizontal="left"/>
    </xf>
    <xf numFmtId="0" fontId="54" fillId="0" borderId="62" xfId="0" applyFont="1" applyBorder="1" applyAlignment="1">
      <alignment horizontal="left" vertical="top" wrapText="1"/>
    </xf>
    <xf numFmtId="0" fontId="54" fillId="0" borderId="63" xfId="0" applyFont="1" applyBorder="1" applyAlignment="1">
      <alignment horizontal="left" vertical="top" wrapText="1"/>
    </xf>
    <xf numFmtId="0" fontId="54" fillId="0" borderId="64" xfId="0" applyFont="1" applyBorder="1" applyAlignment="1">
      <alignment horizontal="left" vertical="top" wrapText="1"/>
    </xf>
    <xf numFmtId="0" fontId="41" fillId="11" borderId="11" xfId="0" applyFont="1" applyFill="1" applyBorder="1" applyAlignment="1">
      <alignment horizontal="center" textRotation="90"/>
    </xf>
    <xf numFmtId="0" fontId="41" fillId="11" borderId="18" xfId="0" applyFont="1" applyFill="1" applyBorder="1" applyAlignment="1">
      <alignment horizontal="center" textRotation="90"/>
    </xf>
    <xf numFmtId="0" fontId="41" fillId="11" borderId="4" xfId="0" applyFont="1" applyFill="1" applyBorder="1" applyAlignment="1">
      <alignment horizontal="center" textRotation="90"/>
    </xf>
    <xf numFmtId="0" fontId="28" fillId="0" borderId="0" xfId="3" applyAlignment="1" applyProtection="1">
      <alignment horizontal="right"/>
      <protection locked="0"/>
    </xf>
    <xf numFmtId="0" fontId="13" fillId="0" borderId="5" xfId="0" quotePrefix="1" applyFont="1" applyBorder="1" applyAlignment="1">
      <alignment horizontal="center"/>
    </xf>
    <xf numFmtId="0" fontId="13" fillId="0" borderId="6" xfId="0" quotePrefix="1" applyFont="1" applyBorder="1" applyAlignment="1">
      <alignment horizontal="center"/>
    </xf>
    <xf numFmtId="0" fontId="13" fillId="0" borderId="7" xfId="0" quotePrefix="1" applyFont="1" applyBorder="1" applyAlignment="1">
      <alignment horizontal="center"/>
    </xf>
    <xf numFmtId="0" fontId="5" fillId="0" borderId="14" xfId="0" quotePrefix="1" applyFont="1" applyBorder="1" applyAlignment="1">
      <alignment horizontal="center"/>
    </xf>
    <xf numFmtId="0" fontId="5" fillId="0" borderId="15" xfId="0" quotePrefix="1" applyFont="1" applyBorder="1" applyAlignment="1">
      <alignment horizontal="center"/>
    </xf>
    <xf numFmtId="0" fontId="5" fillId="0" borderId="16" xfId="0" quotePrefix="1" applyFont="1" applyBorder="1" applyAlignment="1">
      <alignment horizontal="center"/>
    </xf>
    <xf numFmtId="0" fontId="27" fillId="0" borderId="0" xfId="0" applyFont="1" applyAlignment="1">
      <alignment horizontal="center"/>
    </xf>
    <xf numFmtId="0" fontId="13" fillId="0" borderId="42" xfId="0" applyFont="1" applyBorder="1" applyAlignment="1">
      <alignment horizontal="center" wrapText="1"/>
    </xf>
    <xf numFmtId="0" fontId="13" fillId="0" borderId="43" xfId="0" applyFont="1" applyBorder="1" applyAlignment="1">
      <alignment horizontal="center"/>
    </xf>
    <xf numFmtId="0" fontId="13" fillId="0" borderId="44" xfId="0" applyFont="1" applyBorder="1" applyAlignment="1">
      <alignment horizontal="center"/>
    </xf>
    <xf numFmtId="0" fontId="13" fillId="0" borderId="45" xfId="0" applyFont="1" applyBorder="1" applyAlignment="1">
      <alignment horizontal="center"/>
    </xf>
    <xf numFmtId="0" fontId="13" fillId="0" borderId="46" xfId="0" applyFont="1" applyBorder="1" applyAlignment="1">
      <alignment horizontal="center"/>
    </xf>
    <xf numFmtId="0" fontId="13" fillId="0" borderId="47" xfId="0" applyFont="1" applyBorder="1" applyAlignment="1">
      <alignment horizontal="center"/>
    </xf>
    <xf numFmtId="0" fontId="52" fillId="0" borderId="0" xfId="3" applyFont="1" applyAlignment="1" applyProtection="1">
      <alignment horizontal="right"/>
      <protection locked="0"/>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1" fillId="0" borderId="0" xfId="0" applyFont="1" applyAlignment="1">
      <alignment horizontal="center" wrapText="1"/>
    </xf>
    <xf numFmtId="0" fontId="42" fillId="0" borderId="0" xfId="0" applyFont="1" applyAlignment="1">
      <alignment horizontal="left" wrapText="1"/>
    </xf>
    <xf numFmtId="0" fontId="63" fillId="0" borderId="0" xfId="0" applyFont="1" applyAlignment="1">
      <alignment horizontal="left" wrapText="1"/>
    </xf>
  </cellXfs>
  <cellStyles count="4">
    <cellStyle name="Comma" xfId="2" builtinId="3"/>
    <cellStyle name="Hyperlink" xfId="3" builtinId="8"/>
    <cellStyle name="Normal" xfId="0" builtinId="0"/>
    <cellStyle name="Percent" xfId="1" builtinId="5"/>
  </cellStyles>
  <dxfs count="157">
    <dxf>
      <fill>
        <patternFill patternType="solid">
          <fgColor indexed="64"/>
          <bgColor rgb="FFD0E5CE"/>
        </patternFill>
      </fill>
      <alignment horizontal="center" vertical="center" wrapText="1" readingOrder="0"/>
    </dxf>
    <dxf>
      <fill>
        <patternFill patternType="solid">
          <fgColor indexed="64"/>
          <bgColor rgb="FFD0E5CE"/>
        </patternFill>
      </fill>
      <alignment horizontal="center" vertical="center" wrapText="1" readingOrder="0"/>
    </dxf>
    <dxf>
      <alignment wrapText="1" readingOrder="0"/>
    </dxf>
    <dxf>
      <alignment wrapText="1" readingOrder="0"/>
    </dxf>
    <dxf>
      <alignment vertical="center" readingOrder="0"/>
    </dxf>
    <dxf>
      <alignment horizontal="center" readingOrder="0"/>
    </dxf>
    <dxf>
      <font>
        <sz val="10"/>
      </font>
    </dxf>
    <dxf>
      <font>
        <name val="Arial"/>
        <scheme val="none"/>
      </font>
    </dxf>
    <dxf>
      <font>
        <sz val="10"/>
      </font>
    </dxf>
    <dxf>
      <font>
        <sz val="10"/>
      </font>
    </dxf>
    <dxf>
      <font>
        <sz val="10"/>
      </font>
    </dxf>
    <dxf>
      <font>
        <name val="Arial"/>
        <scheme val="none"/>
      </font>
    </dxf>
    <dxf>
      <font>
        <name val="Arial"/>
        <scheme val="none"/>
      </font>
    </dxf>
    <dxf>
      <font>
        <name val="Arial"/>
        <scheme val="none"/>
      </font>
    </dxf>
    <dxf>
      <alignment horizontal="center" readingOrder="0"/>
    </dxf>
    <dxf>
      <border>
        <top style="thin">
          <color rgb="FF439539"/>
        </top>
        <bottom style="thin">
          <color rgb="FF439539"/>
        </bottom>
      </border>
    </dxf>
    <dxf>
      <fill>
        <patternFill patternType="solid">
          <bgColor rgb="FFD0E5CE"/>
        </patternFill>
      </fill>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general" vertical="bottom" textRotation="0" wrapText="0" indent="0" justifyLastLine="0" shrinkToFit="0" readingOrder="0"/>
    </dxf>
    <dxf>
      <numFmt numFmtId="166" formatCode="0.0"/>
    </dxf>
    <dxf>
      <fill>
        <patternFill patternType="solid">
          <fgColor indexed="64"/>
          <bgColor rgb="FFD0E5CE"/>
        </patternFill>
      </fill>
    </dxf>
    <dxf>
      <border>
        <left style="thin">
          <color rgb="FF439539"/>
        </left>
        <right style="thin">
          <color rgb="FF439539"/>
        </right>
        <top style="thin">
          <color rgb="FF439539"/>
        </top>
        <bottom style="thin">
          <color rgb="FF439539"/>
        </bottom>
        <vertical style="thin">
          <color rgb="FF439539"/>
        </vertical>
      </border>
    </dxf>
    <dxf>
      <border>
        <left style="thin">
          <color rgb="FF439539"/>
        </left>
        <right style="thin">
          <color rgb="FF439539"/>
        </right>
        <top style="thin">
          <color rgb="FF439539"/>
        </top>
        <bottom style="thin">
          <color rgb="FF439539"/>
        </bottom>
        <vertical style="thin">
          <color rgb="FF439539"/>
        </vertical>
      </border>
    </dxf>
    <dxf>
      <border>
        <left style="thin">
          <color rgb="FF439539"/>
        </left>
        <right style="thin">
          <color rgb="FF439539"/>
        </right>
        <top style="thin">
          <color rgb="FF439539"/>
        </top>
        <bottom style="thin">
          <color rgb="FF439539"/>
        </bottom>
        <vertical style="thin">
          <color rgb="FF439539"/>
        </vertical>
      </border>
    </dxf>
    <dxf>
      <fill>
        <patternFill>
          <bgColor rgb="FFD0E5CE"/>
        </patternFill>
      </fill>
    </dxf>
    <dxf>
      <fill>
        <patternFill>
          <bgColor rgb="FFD0E5CE"/>
        </patternFill>
      </fill>
    </dxf>
    <dxf>
      <fill>
        <patternFill>
          <bgColor rgb="FFD0E5CE"/>
        </patternFill>
      </fill>
    </dxf>
    <dxf>
      <alignment horizontal="center" readingOrder="0"/>
    </dxf>
    <dxf>
      <font>
        <color theme="0"/>
      </font>
    </dxf>
    <dxf>
      <font>
        <color theme="0"/>
      </font>
    </dxf>
    <dxf>
      <font>
        <color theme="0"/>
      </font>
    </dxf>
    <dxf>
      <font>
        <color rgb="FFFF0000"/>
      </font>
    </dxf>
    <dxf>
      <font>
        <color rgb="FFFF0000"/>
      </font>
    </dxf>
    <dxf>
      <font>
        <color rgb="FFFF0000"/>
      </font>
    </dxf>
    <dxf>
      <font>
        <color rgb="FF78278B"/>
      </font>
    </dxf>
    <dxf>
      <alignment wrapText="1" readingOrder="0"/>
    </dxf>
    <dxf>
      <alignment wrapText="1" readingOrder="0"/>
    </dxf>
    <dxf>
      <border>
        <top style="thin">
          <color rgb="FF0081C6"/>
        </top>
        <bottom style="thin">
          <color rgb="FF0081C6"/>
        </bottom>
      </border>
    </dxf>
    <dxf>
      <fill>
        <patternFill patternType="solid">
          <bgColor rgb="FFBFE0F1"/>
        </patternFill>
      </fill>
    </dxf>
    <dxf>
      <numFmt numFmtId="169" formatCode="[$-409]mmm\-yy;@"/>
    </dxf>
    <dxf>
      <alignment horizontal="right" readingOrder="0"/>
    </dxf>
    <dxf>
      <alignment horizontal="right" readingOrder="0"/>
    </dxf>
    <dxf>
      <alignment horizontal="right" readingOrder="0"/>
    </dxf>
    <dxf>
      <border>
        <left style="thin">
          <color rgb="FF0081C6"/>
        </left>
        <right style="thin">
          <color rgb="FF0081C6"/>
        </right>
        <top style="thin">
          <color rgb="FF0081C6"/>
        </top>
        <bottom style="thin">
          <color rgb="FF0081C6"/>
        </bottom>
      </border>
    </dxf>
    <dxf>
      <border>
        <left style="thin">
          <color rgb="FF0081C6"/>
        </left>
        <right style="thin">
          <color rgb="FF0081C6"/>
        </right>
        <top style="thin">
          <color rgb="FF0081C6"/>
        </top>
        <bottom style="thin">
          <color rgb="FF0081C6"/>
        </bottom>
      </border>
    </dxf>
    <dxf>
      <fill>
        <patternFill>
          <bgColor rgb="FFBFE0F1"/>
        </patternFill>
      </fill>
    </dxf>
    <dxf>
      <fill>
        <patternFill>
          <bgColor rgb="FFBFE0F1"/>
        </patternFill>
      </fill>
    </dxf>
    <dxf>
      <fill>
        <patternFill patternType="solid">
          <bgColor rgb="FFD0E5CE"/>
        </patternFill>
      </fill>
    </dxf>
    <dxf>
      <fill>
        <patternFill patternType="solid">
          <bgColor rgb="FFD0E5CE"/>
        </patternFill>
      </fill>
    </dxf>
    <dxf>
      <numFmt numFmtId="169" formatCode="[$-409]mmm\-yy;@"/>
    </dxf>
    <dxf>
      <alignment wrapText="1" readingOrder="0"/>
    </dxf>
    <dxf>
      <alignment wrapText="1" readingOrder="0"/>
    </dxf>
    <dxf>
      <border>
        <left style="thin">
          <color rgb="FF0081C6"/>
        </left>
        <right style="thin">
          <color rgb="FF0081C6"/>
        </right>
        <top style="thin">
          <color rgb="FF0081C6"/>
        </top>
        <bottom style="thin">
          <color rgb="FF0081C6"/>
        </bottom>
      </border>
    </dxf>
    <dxf>
      <border>
        <left style="thin">
          <color rgb="FF0081C6"/>
        </left>
        <right style="thin">
          <color rgb="FF0081C6"/>
        </right>
        <top style="thin">
          <color rgb="FF0081C6"/>
        </top>
        <bottom style="thin">
          <color rgb="FF0081C6"/>
        </bottom>
      </border>
    </dxf>
    <dxf>
      <fill>
        <patternFill>
          <bgColor rgb="FFBFE0F1"/>
        </patternFill>
      </fill>
    </dxf>
    <dxf>
      <fill>
        <patternFill>
          <bgColor rgb="FFBFE0F1"/>
        </patternFill>
      </fill>
    </dxf>
    <dxf>
      <alignment wrapText="1" readingOrder="0"/>
    </dxf>
    <dxf>
      <alignment wrapText="1" readingOrder="0"/>
    </dxf>
    <dxf>
      <border>
        <left style="thin">
          <color rgb="FF0081C6"/>
        </left>
        <right style="thin">
          <color rgb="FF0081C6"/>
        </right>
        <top style="thin">
          <color rgb="FF0081C6"/>
        </top>
        <bottom style="thin">
          <color rgb="FF0081C6"/>
        </bottom>
      </border>
    </dxf>
    <dxf>
      <border>
        <left style="thin">
          <color rgb="FF0081C6"/>
        </left>
        <right style="thin">
          <color rgb="FF0081C6"/>
        </right>
        <top style="thin">
          <color rgb="FF0081C6"/>
        </top>
        <bottom style="thin">
          <color rgb="FF0081C6"/>
        </bottom>
      </border>
    </dxf>
    <dxf>
      <fill>
        <patternFill>
          <bgColor rgb="FFBFE0F1"/>
        </patternFill>
      </fill>
    </dxf>
    <dxf>
      <fill>
        <patternFill>
          <bgColor rgb="FFBFE0F1"/>
        </patternFill>
      </fill>
    </dxf>
    <dxf>
      <fill>
        <patternFill patternType="solid">
          <bgColor rgb="FFD0E5CE"/>
        </patternFill>
      </fill>
    </dxf>
    <dxf>
      <fill>
        <patternFill patternType="solid">
          <bgColor rgb="FFD0E5CE"/>
        </patternFill>
      </fill>
    </dxf>
    <dxf>
      <alignment horizontal="right" readingOrder="0"/>
    </dxf>
    <dxf>
      <alignment horizontal="right" readingOrder="0"/>
    </dxf>
    <dxf>
      <numFmt numFmtId="169" formatCode="[$-409]mmm\-yy;@"/>
    </dxf>
    <dxf>
      <numFmt numFmtId="169" formatCode="[$-409]mmm\-yy;@"/>
    </dxf>
    <dxf>
      <alignment wrapText="1" readingOrder="0"/>
    </dxf>
    <dxf>
      <fill>
        <patternFill patternType="solid">
          <fgColor indexed="64"/>
          <bgColor rgb="FFBFE0F1"/>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fill>
        <patternFill>
          <bgColor rgb="FFBFE0F1"/>
        </patternFill>
      </fill>
    </dxf>
    <dxf>
      <fill>
        <patternFill>
          <bgColor rgb="FFBFE0F1"/>
        </patternFill>
      </fill>
    </dxf>
    <dxf>
      <fill>
        <patternFill>
          <bgColor rgb="FFBFE0F1"/>
        </patternFill>
      </fill>
    </dxf>
    <dxf>
      <fill>
        <patternFill>
          <bgColor rgb="FFBFE0F1"/>
        </patternFill>
      </fill>
    </dxf>
    <dxf>
      <fill>
        <patternFill>
          <bgColor rgb="FFBFE0F1"/>
        </patternFill>
      </fill>
    </dxf>
    <dxf>
      <fill>
        <patternFill>
          <bgColor rgb="FFBFE0F1"/>
        </patternFill>
      </fill>
    </dxf>
    <dxf>
      <fill>
        <patternFill>
          <bgColor rgb="FFBFE0F1"/>
        </patternFill>
      </fill>
    </dxf>
    <dxf>
      <fill>
        <patternFill>
          <bgColor rgb="FFBFE0F1"/>
        </patternFill>
      </fill>
    </dxf>
    <dxf>
      <alignment horizontal="right" readingOrder="0"/>
    </dxf>
    <dxf>
      <alignment horizontal="right" readingOrder="0"/>
    </dxf>
    <dxf>
      <alignment wrapText="1" readingOrder="0"/>
    </dxf>
    <dxf>
      <alignment wrapText="1" readingOrder="0"/>
    </dxf>
    <dxf>
      <numFmt numFmtId="167" formatCode="0.0%"/>
    </dxf>
    <dxf>
      <border>
        <top style="thin">
          <color rgb="FF0081C6"/>
        </top>
        <bottom style="thin">
          <color rgb="FF0081C6"/>
        </bottom>
      </border>
    </dxf>
    <dxf>
      <fill>
        <patternFill patternType="solid">
          <bgColor rgb="FFBFE0F1"/>
        </patternFill>
      </fill>
    </dxf>
    <dxf>
      <alignment horizontal="right" readingOrder="0"/>
    </dxf>
    <dxf>
      <alignment horizontal="right" readingOrder="0"/>
    </dxf>
    <dxf>
      <alignment horizontal="right" readingOrder="0"/>
    </dxf>
    <dxf>
      <border>
        <left style="thin">
          <color rgb="FF0081C6"/>
        </left>
        <right style="thin">
          <color rgb="FF0081C6"/>
        </right>
        <top style="thin">
          <color rgb="FF0081C6"/>
        </top>
        <bottom style="thin">
          <color rgb="FF0081C6"/>
        </bottom>
      </border>
    </dxf>
    <dxf>
      <border>
        <left style="thin">
          <color rgb="FF0081C6"/>
        </left>
        <right style="thin">
          <color rgb="FF0081C6"/>
        </right>
        <top style="thin">
          <color rgb="FF0081C6"/>
        </top>
        <bottom style="thin">
          <color rgb="FF0081C6"/>
        </bottom>
      </border>
    </dxf>
    <dxf>
      <fill>
        <patternFill>
          <bgColor rgb="FFBFE0F1"/>
        </patternFill>
      </fill>
    </dxf>
    <dxf>
      <fill>
        <patternFill>
          <bgColor rgb="FFBFE0F1"/>
        </patternFill>
      </fill>
    </dxf>
    <dxf>
      <fill>
        <patternFill patternType="solid">
          <bgColor rgb="FFD0E5CE"/>
        </patternFill>
      </fill>
    </dxf>
    <dxf>
      <fill>
        <patternFill patternType="solid">
          <bgColor rgb="FFD0E5CE"/>
        </patternFill>
      </fill>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169" formatCode="[$-409]mmm\-yy;@"/>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 formatCode="#,##0"/>
      <alignment horizontal="general" vertical="bottom" textRotation="0" wrapText="0" indent="0" justifyLastLine="0" shrinkToFit="0" readingOrder="0"/>
    </dxf>
    <dxf>
      <border diagonalUp="0" diagonalDown="0">
        <left/>
        <right/>
        <top/>
        <bottom/>
      </border>
    </dxf>
    <dxf>
      <font>
        <b/>
        <color theme="1"/>
      </font>
      <border>
        <bottom style="thin">
          <color theme="4"/>
        </bottom>
        <vertical/>
        <horizontal/>
      </border>
    </dxf>
    <dxf>
      <font>
        <b val="0"/>
        <i val="0"/>
        <sz val="10"/>
        <color theme="1"/>
        <name val="Arial"/>
        <scheme val="none"/>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b val="0"/>
        <i val="0"/>
        <sz val="10"/>
        <color theme="1"/>
        <name val="Arial"/>
        <scheme val="none"/>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
      <font>
        <b val="0"/>
        <i val="0"/>
        <sz val="10"/>
        <name val="Arial"/>
        <scheme val="none"/>
      </font>
    </dxf>
    <dxf>
      <font>
        <b val="0"/>
        <i val="0"/>
        <sz val="10"/>
        <name val="Arial"/>
        <scheme val="none"/>
      </font>
    </dxf>
    <dxf>
      <font>
        <name val="Arial"/>
        <scheme val="none"/>
      </font>
    </dxf>
  </dxfs>
  <tableStyles count="6" defaultTableStyle="TableStyleMedium2" defaultPivotStyle="PivotStyleLight16">
    <tableStyle name="Slicer Style 1" pivot="0" table="0" count="1" xr9:uid="{00000000-0011-0000-FFFF-FFFF00000000}">
      <tableStyleElement type="wholeTable" dxfId="156"/>
    </tableStyle>
    <tableStyle name="Slicer Style 2" pivot="0" table="0" count="1" xr9:uid="{00000000-0011-0000-FFFF-FFFF01000000}">
      <tableStyleElement type="wholeTable" dxfId="155"/>
    </tableStyle>
    <tableStyle name="Slicer Style 3" pivot="0" table="0" count="1" xr9:uid="{00000000-0011-0000-FFFF-FFFF02000000}">
      <tableStyleElement type="headerRow" dxfId="154"/>
    </tableStyle>
    <tableStyle name="SlicerStyleDark1 2" pivot="0" table="0" count="10" xr9:uid="{00000000-0011-0000-FFFF-FFFF03000000}">
      <tableStyleElement type="wholeTable" dxfId="153"/>
      <tableStyleElement type="headerRow" dxfId="152"/>
    </tableStyle>
    <tableStyle name="SlicerStyleLight1 2" pivot="0" table="0" count="10" xr9:uid="{00000000-0011-0000-FFFF-FFFF04000000}">
      <tableStyleElement type="wholeTable" dxfId="151"/>
      <tableStyleElement type="headerRow" dxfId="150"/>
    </tableStyle>
    <tableStyle name="SlicerStyleLight1 2 2" pivot="0" table="0" count="10" xr9:uid="{00000000-0011-0000-FFFF-FFFF05000000}">
      <tableStyleElement type="wholeTable" dxfId="149"/>
      <tableStyleElement type="headerRow" dxfId="148"/>
    </tableStyle>
  </tableStyles>
  <colors>
    <mruColors>
      <color rgb="FF0081C6"/>
      <color rgb="FF439539"/>
      <color rgb="FF003767"/>
      <color rgb="FF78278B"/>
      <color rgb="FFBC93C5"/>
      <color rgb="FF72B06B"/>
      <color rgb="FFA1CA9C"/>
      <color rgb="FF40A1D4"/>
      <color rgb="FF80C0E3"/>
      <color rgb="FF40698D"/>
    </mruColors>
  </colors>
  <extLst>
    <ext xmlns:x14="http://schemas.microsoft.com/office/spreadsheetml/2009/9/main" uri="{46F421CA-312F-682f-3DD2-61675219B42D}">
      <x14:dxfs count="24">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2 2">
        <x14:slicerStyle name="Slicer Style 1"/>
        <x14:slicerStyle name="Slicer Style 2"/>
        <x14:slicerStyle name="Slicer Style 3"/>
        <x14:slicerStyle name="SlicerStyleDark1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1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1 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814129483814523"/>
          <c:y val="2.8252405949256341E-2"/>
          <c:w val="0.82130314960629935"/>
          <c:h val="0.77583291653491326"/>
        </c:manualLayout>
      </c:layout>
      <c:lineChart>
        <c:grouping val="standard"/>
        <c:varyColors val="0"/>
        <c:ser>
          <c:idx val="0"/>
          <c:order val="0"/>
          <c:tx>
            <c:v>Collected counts</c:v>
          </c:tx>
          <c:spPr>
            <a:ln w="22225">
              <a:solidFill>
                <a:srgbClr val="003767"/>
              </a:solidFill>
            </a:ln>
          </c:spPr>
          <c:marker>
            <c:symbol val="triangle"/>
            <c:size val="5"/>
            <c:spPr>
              <a:solidFill>
                <a:srgbClr val="003767"/>
              </a:solidFill>
              <a:ln>
                <a:solidFill>
                  <a:srgbClr val="003767"/>
                </a:solidFill>
              </a:ln>
            </c:spPr>
          </c:marker>
          <c:cat>
            <c:numLit>
              <c:formatCode>General</c:formatCode>
              <c:ptCount val="5"/>
              <c:pt idx="0">
                <c:v>1</c:v>
              </c:pt>
              <c:pt idx="1">
                <c:v>2</c:v>
              </c:pt>
              <c:pt idx="2">
                <c:v>3</c:v>
              </c:pt>
              <c:pt idx="3">
                <c:v>4</c:v>
              </c:pt>
              <c:pt idx="4">
                <c:v>5</c:v>
              </c:pt>
            </c:numLit>
          </c:cat>
          <c:val>
            <c:numLit>
              <c:formatCode>General</c:formatCode>
              <c:ptCount val="5"/>
              <c:pt idx="0">
                <c:v>27567</c:v>
              </c:pt>
              <c:pt idx="1">
                <c:v>36084</c:v>
              </c:pt>
              <c:pt idx="2">
                <c:v>37140</c:v>
              </c:pt>
              <c:pt idx="3">
                <c:v>37384</c:v>
              </c:pt>
              <c:pt idx="4">
                <c:v>37471</c:v>
              </c:pt>
            </c:numLit>
          </c:val>
          <c:smooth val="0"/>
          <c:extLst>
            <c:ext xmlns:c16="http://schemas.microsoft.com/office/drawing/2014/chart" uri="{C3380CC4-5D6E-409C-BE32-E72D297353CC}">
              <c16:uniqueId val="{00000000-E354-4EE5-8D4F-0608AF3A951C}"/>
            </c:ext>
          </c:extLst>
        </c:ser>
        <c:ser>
          <c:idx val="1"/>
          <c:order val="1"/>
          <c:tx>
            <c:v>Estimates</c:v>
          </c:tx>
          <c:spPr>
            <a:ln w="22225">
              <a:solidFill>
                <a:srgbClr val="439539"/>
              </a:solidFill>
            </a:ln>
          </c:spPr>
          <c:marker>
            <c:symbol val="square"/>
            <c:size val="4"/>
            <c:spPr>
              <a:solidFill>
                <a:srgbClr val="439539"/>
              </a:solidFill>
              <a:ln>
                <a:solidFill>
                  <a:srgbClr val="439539"/>
                </a:solidFill>
              </a:ln>
            </c:spPr>
          </c:marker>
          <c:cat>
            <c:numLit>
              <c:formatCode>General</c:formatCode>
              <c:ptCount val="5"/>
              <c:pt idx="0">
                <c:v>1</c:v>
              </c:pt>
              <c:pt idx="1">
                <c:v>2</c:v>
              </c:pt>
              <c:pt idx="2">
                <c:v>3</c:v>
              </c:pt>
              <c:pt idx="3">
                <c:v>4</c:v>
              </c:pt>
              <c:pt idx="4">
                <c:v>5</c:v>
              </c:pt>
            </c:numLit>
          </c:cat>
          <c:val>
            <c:numLit>
              <c:formatCode>General</c:formatCode>
              <c:ptCount val="5"/>
              <c:pt idx="0">
                <c:v>#N/A</c:v>
              </c:pt>
              <c:pt idx="1">
                <c:v>37927</c:v>
              </c:pt>
              <c:pt idx="2">
                <c:v>37479</c:v>
              </c:pt>
              <c:pt idx="3">
                <c:v>37493</c:v>
              </c:pt>
              <c:pt idx="4">
                <c:v>37471</c:v>
              </c:pt>
            </c:numLit>
          </c:val>
          <c:smooth val="0"/>
          <c:extLst>
            <c:ext xmlns:c16="http://schemas.microsoft.com/office/drawing/2014/chart" uri="{C3380CC4-5D6E-409C-BE32-E72D297353CC}">
              <c16:uniqueId val="{00000001-E354-4EE5-8D4F-0608AF3A951C}"/>
            </c:ext>
          </c:extLst>
        </c:ser>
        <c:dLbls>
          <c:showLegendKey val="0"/>
          <c:showVal val="0"/>
          <c:showCatName val="0"/>
          <c:showSerName val="0"/>
          <c:showPercent val="0"/>
          <c:showBubbleSize val="0"/>
        </c:dLbls>
        <c:marker val="1"/>
        <c:smooth val="0"/>
        <c:axId val="339510400"/>
        <c:axId val="339512704"/>
      </c:lineChart>
      <c:catAx>
        <c:axId val="339510400"/>
        <c:scaling>
          <c:orientation val="minMax"/>
        </c:scaling>
        <c:delete val="0"/>
        <c:axPos val="b"/>
        <c:title>
          <c:tx>
            <c:rich>
              <a:bodyPr/>
              <a:lstStyle/>
              <a:p>
                <a:pPr>
                  <a:defRPr sz="900">
                    <a:latin typeface="Arial" panose="020B0604020202020204" pitchFamily="34" charset="0"/>
                    <a:cs typeface="Arial" panose="020B0604020202020204" pitchFamily="34" charset="0"/>
                  </a:defRPr>
                </a:pPr>
                <a:r>
                  <a:rPr lang="en-US" sz="900">
                    <a:latin typeface="Arial" panose="020B0604020202020204" pitchFamily="34" charset="0"/>
                    <a:cs typeface="Arial" panose="020B0604020202020204" pitchFamily="34" charset="0"/>
                  </a:rPr>
                  <a:t>Number of quarters</a:t>
                </a:r>
              </a:p>
            </c:rich>
          </c:tx>
          <c:layout>
            <c:manualLayout>
              <c:xMode val="edge"/>
              <c:yMode val="edge"/>
              <c:x val="0.39390398075240596"/>
              <c:y val="0.86440762613006705"/>
            </c:manualLayout>
          </c:layout>
          <c:overlay val="0"/>
        </c:title>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339512704"/>
        <c:crosses val="autoZero"/>
        <c:auto val="1"/>
        <c:lblAlgn val="ctr"/>
        <c:lblOffset val="100"/>
        <c:noMultiLvlLbl val="0"/>
      </c:catAx>
      <c:valAx>
        <c:axId val="339512704"/>
        <c:scaling>
          <c:orientation val="minMax"/>
          <c:max val="40000"/>
          <c:min val="26000"/>
        </c:scaling>
        <c:delete val="0"/>
        <c:axPos val="l"/>
        <c:majorGridlines>
          <c:spPr>
            <a:ln>
              <a:solidFill>
                <a:schemeClr val="bg1">
                  <a:lumMod val="85000"/>
                </a:schemeClr>
              </a:solidFill>
            </a:ln>
          </c:spPr>
        </c:majorGridlines>
        <c:title>
          <c:tx>
            <c:rich>
              <a:bodyPr rot="-5400000" vert="horz"/>
              <a:lstStyle/>
              <a:p>
                <a:pPr>
                  <a:defRPr sz="900">
                    <a:latin typeface="Arial" panose="020B0604020202020204" pitchFamily="34" charset="0"/>
                    <a:cs typeface="Arial" panose="020B0604020202020204" pitchFamily="34" charset="0"/>
                  </a:defRPr>
                </a:pPr>
                <a:r>
                  <a:rPr lang="en-US" sz="900">
                    <a:latin typeface="Arial" panose="020B0604020202020204" pitchFamily="34" charset="0"/>
                    <a:cs typeface="Arial" panose="020B0604020202020204" pitchFamily="34" charset="0"/>
                  </a:rPr>
                  <a:t>Contract commencements</a:t>
                </a:r>
              </a:p>
            </c:rich>
          </c:tx>
          <c:overlay val="0"/>
        </c:title>
        <c:numFmt formatCode="0\ 00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339510400"/>
        <c:crosses val="autoZero"/>
        <c:crossBetween val="between"/>
      </c:valAx>
    </c:plotArea>
    <c:legend>
      <c:legendPos val="b"/>
      <c:layout>
        <c:manualLayout>
          <c:xMode val="edge"/>
          <c:yMode val="edge"/>
          <c:x val="0.24171587926509186"/>
          <c:y val="0.91628280839895015"/>
          <c:w val="0.51455668250236986"/>
          <c:h val="7.2210638216713557E-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latin typeface="Arial" panose="020B0604020202020204" pitchFamily="34" charset="0"/>
                <a:cs typeface="Arial" panose="020B0604020202020204" pitchFamily="34" charset="0"/>
              </a:defRPr>
            </a:pPr>
            <a:r>
              <a:rPr lang="en-US" sz="1400" b="1">
                <a:latin typeface="Arial" panose="020B0604020202020204" pitchFamily="34" charset="0"/>
                <a:cs typeface="Arial" panose="020B0604020202020204" pitchFamily="34" charset="0"/>
              </a:rPr>
              <a:t>Initial and</a:t>
            </a:r>
            <a:r>
              <a:rPr lang="en-US" sz="1400" b="1" baseline="0">
                <a:latin typeface="Arial" panose="020B0604020202020204" pitchFamily="34" charset="0"/>
                <a:cs typeface="Arial" panose="020B0604020202020204" pitchFamily="34" charset="0"/>
              </a:rPr>
              <a:t> </a:t>
            </a:r>
            <a:r>
              <a:rPr lang="en-US" sz="1400" b="1">
                <a:latin typeface="Arial" panose="020B0604020202020204" pitchFamily="34" charset="0"/>
                <a:cs typeface="Arial" panose="020B0604020202020204" pitchFamily="34" charset="0"/>
              </a:rPr>
              <a:t>first revision published estimates and final count</a:t>
            </a:r>
          </a:p>
        </c:rich>
      </c:tx>
      <c:layout>
        <c:manualLayout>
          <c:xMode val="edge"/>
          <c:yMode val="edge"/>
          <c:x val="0.14867380911342337"/>
          <c:y val="1.8552227921221156E-2"/>
        </c:manualLayout>
      </c:layout>
      <c:overlay val="0"/>
    </c:title>
    <c:autoTitleDeleted val="0"/>
    <c:plotArea>
      <c:layout>
        <c:manualLayout>
          <c:layoutTarget val="inner"/>
          <c:xMode val="edge"/>
          <c:yMode val="edge"/>
          <c:x val="8.1482094399217053E-2"/>
          <c:y val="0.14257024450891007"/>
          <c:w val="0.7710138615547949"/>
          <c:h val="0.695125569830087"/>
        </c:manualLayout>
      </c:layout>
      <c:barChart>
        <c:barDir val="col"/>
        <c:grouping val="clustered"/>
        <c:varyColors val="0"/>
        <c:ser>
          <c:idx val="2"/>
          <c:order val="0"/>
          <c:tx>
            <c:strRef>
              <c:f>'Pivot tables'!$Q$23</c:f>
              <c:strCache>
                <c:ptCount val="1"/>
                <c:pt idx="0">
                  <c:v>Initial NCVER published estimate</c:v>
                </c:pt>
              </c:strCache>
            </c:strRef>
          </c:tx>
          <c:spPr>
            <a:solidFill>
              <a:srgbClr val="72B06B"/>
            </a:solidFill>
          </c:spPr>
          <c:invertIfNegative val="0"/>
          <c:dLbls>
            <c:numFmt formatCode="0" sourceLinked="0"/>
            <c:spPr>
              <a:noFill/>
              <a:ln>
                <a:noFill/>
              </a:ln>
              <a:effectLst/>
            </c:spPr>
            <c:txPr>
              <a:bodyPr rot="-5400000" vert="horz"/>
              <a:lstStyle/>
              <a:p>
                <a:pPr>
                  <a:defRPr sz="1000">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tables'!$P$24:$P$27</c:f>
              <c:numCache>
                <c:formatCode>[$-409]mmm\-yy;@</c:formatCode>
                <c:ptCount val="4"/>
                <c:pt idx="0">
                  <c:v>44256</c:v>
                </c:pt>
                <c:pt idx="1">
                  <c:v>44348</c:v>
                </c:pt>
                <c:pt idx="2">
                  <c:v>44440</c:v>
                </c:pt>
                <c:pt idx="3">
                  <c:v>44531</c:v>
                </c:pt>
              </c:numCache>
            </c:numRef>
          </c:cat>
          <c:val>
            <c:numRef>
              <c:f>'Pivot tables'!$R$24:$R$27</c:f>
              <c:numCache>
                <c:formatCode>General</c:formatCode>
                <c:ptCount val="4"/>
                <c:pt idx="0">
                  <c:v>66634</c:v>
                </c:pt>
                <c:pt idx="1">
                  <c:v>47785</c:v>
                </c:pt>
                <c:pt idx="2">
                  <c:v>48751</c:v>
                </c:pt>
                <c:pt idx="3">
                  <c:v>48686</c:v>
                </c:pt>
              </c:numCache>
            </c:numRef>
          </c:val>
          <c:extLst>
            <c:ext xmlns:c16="http://schemas.microsoft.com/office/drawing/2014/chart" uri="{C3380CC4-5D6E-409C-BE32-E72D297353CC}">
              <c16:uniqueId val="{00000001-945F-4A80-8FC0-BFA9092C261A}"/>
            </c:ext>
          </c:extLst>
        </c:ser>
        <c:ser>
          <c:idx val="1"/>
          <c:order val="1"/>
          <c:tx>
            <c:strRef>
              <c:f>'Pivot tables'!$R$23</c:f>
              <c:strCache>
                <c:ptCount val="1"/>
                <c:pt idx="0">
                  <c:v>First revision NCVER published estimate</c:v>
                </c:pt>
              </c:strCache>
            </c:strRef>
          </c:tx>
          <c:spPr>
            <a:solidFill>
              <a:srgbClr val="A1CA9C"/>
            </a:solidFill>
          </c:spPr>
          <c:invertIfNegative val="0"/>
          <c:dLbls>
            <c:numFmt formatCode="0" sourceLinked="0"/>
            <c:spPr>
              <a:noFill/>
              <a:ln>
                <a:noFill/>
              </a:ln>
              <a:effectLst/>
            </c:spPr>
            <c:txPr>
              <a:bodyPr rot="-5400000" vert="horz"/>
              <a:lstStyle/>
              <a:p>
                <a:pPr>
                  <a:defRPr sz="1000">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tables'!$P$24:$P$27</c:f>
              <c:numCache>
                <c:formatCode>[$-409]mmm\-yy;@</c:formatCode>
                <c:ptCount val="4"/>
                <c:pt idx="0">
                  <c:v>44256</c:v>
                </c:pt>
                <c:pt idx="1">
                  <c:v>44348</c:v>
                </c:pt>
                <c:pt idx="2">
                  <c:v>44440</c:v>
                </c:pt>
                <c:pt idx="3">
                  <c:v>44531</c:v>
                </c:pt>
              </c:numCache>
            </c:numRef>
          </c:cat>
          <c:val>
            <c:numRef>
              <c:f>'Pivot tables'!$Q$24:$Q$27</c:f>
              <c:numCache>
                <c:formatCode>General</c:formatCode>
                <c:ptCount val="4"/>
                <c:pt idx="0">
                  <c:v>68910</c:v>
                </c:pt>
                <c:pt idx="1">
                  <c:v>48734</c:v>
                </c:pt>
                <c:pt idx="2">
                  <c:v>49694</c:v>
                </c:pt>
                <c:pt idx="3">
                  <c:v>50280</c:v>
                </c:pt>
              </c:numCache>
            </c:numRef>
          </c:val>
          <c:extLst>
            <c:ext xmlns:c16="http://schemas.microsoft.com/office/drawing/2014/chart" uri="{C3380CC4-5D6E-409C-BE32-E72D297353CC}">
              <c16:uniqueId val="{00000000-945F-4A80-8FC0-BFA9092C261A}"/>
            </c:ext>
          </c:extLst>
        </c:ser>
        <c:ser>
          <c:idx val="3"/>
          <c:order val="2"/>
          <c:tx>
            <c:strRef>
              <c:f>'Pivot tables'!$S$23</c:f>
              <c:strCache>
                <c:ptCount val="1"/>
                <c:pt idx="0">
                  <c:v>Final count</c:v>
                </c:pt>
              </c:strCache>
            </c:strRef>
          </c:tx>
          <c:spPr>
            <a:solidFill>
              <a:srgbClr val="439539"/>
            </a:solidFill>
          </c:spPr>
          <c:invertIfNegative val="0"/>
          <c:dLbls>
            <c:numFmt formatCode="0" sourceLinked="0"/>
            <c:spPr>
              <a:noFill/>
              <a:ln>
                <a:noFill/>
              </a:ln>
              <a:effectLst/>
            </c:spPr>
            <c:txPr>
              <a:bodyPr rot="-5400000" vert="horz"/>
              <a:lstStyle/>
              <a:p>
                <a:pPr>
                  <a:defRPr sz="1000">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tables'!$P$24:$P$27</c:f>
              <c:numCache>
                <c:formatCode>[$-409]mmm\-yy;@</c:formatCode>
                <c:ptCount val="4"/>
                <c:pt idx="0">
                  <c:v>44256</c:v>
                </c:pt>
                <c:pt idx="1">
                  <c:v>44348</c:v>
                </c:pt>
                <c:pt idx="2">
                  <c:v>44440</c:v>
                </c:pt>
                <c:pt idx="3">
                  <c:v>44531</c:v>
                </c:pt>
              </c:numCache>
            </c:numRef>
          </c:cat>
          <c:val>
            <c:numRef>
              <c:f>'Pivot tables'!$S$24:$S$27</c:f>
              <c:numCache>
                <c:formatCode>General</c:formatCode>
                <c:ptCount val="4"/>
                <c:pt idx="0">
                  <c:v>69148</c:v>
                </c:pt>
                <c:pt idx="1">
                  <c:v>48972</c:v>
                </c:pt>
                <c:pt idx="2">
                  <c:v>50025</c:v>
                </c:pt>
                <c:pt idx="3">
                  <c:v>50676</c:v>
                </c:pt>
              </c:numCache>
            </c:numRef>
          </c:val>
          <c:extLst>
            <c:ext xmlns:c16="http://schemas.microsoft.com/office/drawing/2014/chart" uri="{C3380CC4-5D6E-409C-BE32-E72D297353CC}">
              <c16:uniqueId val="{00000002-945F-4A80-8FC0-BFA9092C261A}"/>
            </c:ext>
          </c:extLst>
        </c:ser>
        <c:dLbls>
          <c:showLegendKey val="0"/>
          <c:showVal val="0"/>
          <c:showCatName val="0"/>
          <c:showSerName val="0"/>
          <c:showPercent val="0"/>
          <c:showBubbleSize val="0"/>
        </c:dLbls>
        <c:gapWidth val="150"/>
        <c:overlap val="-10"/>
        <c:axId val="342416000"/>
        <c:axId val="342295296"/>
      </c:barChart>
      <c:catAx>
        <c:axId val="342416000"/>
        <c:scaling>
          <c:orientation val="minMax"/>
        </c:scaling>
        <c:delete val="0"/>
        <c:axPos val="b"/>
        <c:title>
          <c:tx>
            <c:rich>
              <a:bodyPr/>
              <a:lstStyle/>
              <a:p>
                <a:pPr>
                  <a:defRPr sz="1000">
                    <a:latin typeface="Arial" panose="020B0604020202020204" pitchFamily="34" charset="0"/>
                    <a:cs typeface="Arial" panose="020B0604020202020204" pitchFamily="34" charset="0"/>
                  </a:defRPr>
                </a:pPr>
                <a:r>
                  <a:rPr lang="en-US" sz="1000">
                    <a:latin typeface="Arial" panose="020B0604020202020204" pitchFamily="34" charset="0"/>
                    <a:cs typeface="Arial" panose="020B0604020202020204" pitchFamily="34" charset="0"/>
                  </a:rPr>
                  <a:t>Review</a:t>
                </a:r>
                <a:r>
                  <a:rPr lang="en-US" sz="1000" baseline="0">
                    <a:latin typeface="Arial" panose="020B0604020202020204" pitchFamily="34" charset="0"/>
                    <a:cs typeface="Arial" panose="020B0604020202020204" pitchFamily="34" charset="0"/>
                  </a:rPr>
                  <a:t> quarter</a:t>
                </a:r>
                <a:endParaRPr lang="en-US" sz="1000">
                  <a:latin typeface="Arial" panose="020B0604020202020204" pitchFamily="34" charset="0"/>
                  <a:cs typeface="Arial" panose="020B0604020202020204" pitchFamily="34" charset="0"/>
                </a:endParaRPr>
              </a:p>
            </c:rich>
          </c:tx>
          <c:layout>
            <c:manualLayout>
              <c:xMode val="edge"/>
              <c:yMode val="edge"/>
              <c:x val="0.37713060549286298"/>
              <c:y val="0.9354452225128177"/>
            </c:manualLayout>
          </c:layout>
          <c:overlay val="0"/>
        </c:title>
        <c:numFmt formatCode="[$-409]mmm\-yy;@" sourceLinked="1"/>
        <c:majorTickMark val="none"/>
        <c:minorTickMark val="none"/>
        <c:tickLblPos val="nextTo"/>
        <c:txPr>
          <a:bodyPr/>
          <a:lstStyle/>
          <a:p>
            <a:pPr>
              <a:defRPr sz="1000">
                <a:latin typeface="Arial" panose="020B0604020202020204" pitchFamily="34" charset="0"/>
                <a:cs typeface="Arial" panose="020B0604020202020204" pitchFamily="34" charset="0"/>
              </a:defRPr>
            </a:pPr>
            <a:endParaRPr lang="en-US"/>
          </a:p>
        </c:txPr>
        <c:crossAx val="342295296"/>
        <c:crosses val="autoZero"/>
        <c:auto val="0"/>
        <c:lblAlgn val="ctr"/>
        <c:lblOffset val="100"/>
        <c:noMultiLvlLbl val="0"/>
      </c:catAx>
      <c:valAx>
        <c:axId val="342295296"/>
        <c:scaling>
          <c:orientation val="minMax"/>
        </c:scaling>
        <c:delete val="0"/>
        <c:axPos val="l"/>
        <c:majorGridlines>
          <c:spPr>
            <a:ln>
              <a:solidFill>
                <a:schemeClr val="bg1">
                  <a:lumMod val="85000"/>
                </a:schemeClr>
              </a:solidFill>
            </a:ln>
          </c:spPr>
        </c:majorGridlines>
        <c:numFmt formatCode="0" sourceLinked="0"/>
        <c:majorTickMark val="none"/>
        <c:minorTickMark val="none"/>
        <c:tickLblPos val="nextTo"/>
        <c:txPr>
          <a:bodyPr/>
          <a:lstStyle/>
          <a:p>
            <a:pPr>
              <a:defRPr sz="1000">
                <a:latin typeface="Arial" panose="020B0604020202020204" pitchFamily="34" charset="0"/>
                <a:cs typeface="Arial" panose="020B0604020202020204" pitchFamily="34" charset="0"/>
              </a:defRPr>
            </a:pPr>
            <a:endParaRPr lang="en-US"/>
          </a:p>
        </c:txPr>
        <c:crossAx val="342416000"/>
        <c:crosses val="autoZero"/>
        <c:crossBetween val="between"/>
      </c:valAx>
    </c:plotArea>
    <c:legend>
      <c:legendPos val="r"/>
      <c:layout>
        <c:manualLayout>
          <c:xMode val="edge"/>
          <c:yMode val="edge"/>
          <c:x val="0.85307143163655386"/>
          <c:y val="0.25185452459352575"/>
          <c:w val="0.14499498297681579"/>
          <c:h val="0.70948070051336998"/>
        </c:manualLayout>
      </c:layout>
      <c:overlay val="1"/>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rgbClr val="0081C6"/>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AU" sz="1400">
                <a:latin typeface="Arial" panose="020B0604020202020204" pitchFamily="34" charset="0"/>
                <a:cs typeface="Arial" panose="020B0604020202020204" pitchFamily="34" charset="0"/>
              </a:rPr>
              <a:t>Collected</a:t>
            </a:r>
            <a:r>
              <a:rPr lang="en-AU" sz="1400" baseline="0">
                <a:latin typeface="Arial" panose="020B0604020202020204" pitchFamily="34" charset="0"/>
                <a:cs typeface="Arial" panose="020B0604020202020204" pitchFamily="34" charset="0"/>
              </a:rPr>
              <a:t> count from STAs, NCVER published estimate and final count</a:t>
            </a:r>
            <a:endParaRPr lang="en-AU" sz="1400">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8.244649725405806E-2"/>
          <c:y val="0.15536721549739937"/>
          <c:w val="0.73936741967161046"/>
          <c:h val="0.7258583854762507"/>
        </c:manualLayout>
      </c:layout>
      <c:barChart>
        <c:barDir val="col"/>
        <c:grouping val="clustered"/>
        <c:varyColors val="0"/>
        <c:ser>
          <c:idx val="0"/>
          <c:order val="0"/>
          <c:tx>
            <c:strRef>
              <c:f>'Pivot tables'!$G$23</c:f>
              <c:strCache>
                <c:ptCount val="1"/>
                <c:pt idx="0">
                  <c:v>Collected count from STAs</c:v>
                </c:pt>
              </c:strCache>
            </c:strRef>
          </c:tx>
          <c:spPr>
            <a:solidFill>
              <a:srgbClr val="80C0E3"/>
            </a:solidFill>
          </c:spPr>
          <c:invertIfNegative val="0"/>
          <c:dLbls>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tables'!$F$24:$F$27</c:f>
              <c:numCache>
                <c:formatCode>[$-409]mmm\-yy;@</c:formatCode>
                <c:ptCount val="4"/>
                <c:pt idx="0">
                  <c:v>44256</c:v>
                </c:pt>
                <c:pt idx="1">
                  <c:v>44348</c:v>
                </c:pt>
                <c:pt idx="2">
                  <c:v>44440</c:v>
                </c:pt>
                <c:pt idx="3">
                  <c:v>44531</c:v>
                </c:pt>
              </c:numCache>
            </c:numRef>
          </c:cat>
          <c:val>
            <c:numRef>
              <c:f>'Pivot tables'!$G$24:$G$27</c:f>
              <c:numCache>
                <c:formatCode>0</c:formatCode>
                <c:ptCount val="4"/>
                <c:pt idx="0">
                  <c:v>68536</c:v>
                </c:pt>
                <c:pt idx="1">
                  <c:v>48475</c:v>
                </c:pt>
                <c:pt idx="2">
                  <c:v>49408</c:v>
                </c:pt>
                <c:pt idx="3">
                  <c:v>49943</c:v>
                </c:pt>
              </c:numCache>
            </c:numRef>
          </c:val>
          <c:extLst>
            <c:ext xmlns:c16="http://schemas.microsoft.com/office/drawing/2014/chart" uri="{C3380CC4-5D6E-409C-BE32-E72D297353CC}">
              <c16:uniqueId val="{00000000-5786-475D-A3DC-118C63DF4533}"/>
            </c:ext>
          </c:extLst>
        </c:ser>
        <c:ser>
          <c:idx val="1"/>
          <c:order val="1"/>
          <c:tx>
            <c:strRef>
              <c:f>'Pivot tables'!$H$23</c:f>
              <c:strCache>
                <c:ptCount val="1"/>
                <c:pt idx="0">
                  <c:v>NCVER published estimate </c:v>
                </c:pt>
              </c:strCache>
            </c:strRef>
          </c:tx>
          <c:spPr>
            <a:solidFill>
              <a:srgbClr val="40A1D4"/>
            </a:solidFill>
          </c:spPr>
          <c:invertIfNegative val="0"/>
          <c:dLbls>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tables'!$F$24:$F$27</c:f>
              <c:numCache>
                <c:formatCode>[$-409]mmm\-yy;@</c:formatCode>
                <c:ptCount val="4"/>
                <c:pt idx="0">
                  <c:v>44256</c:v>
                </c:pt>
                <c:pt idx="1">
                  <c:v>44348</c:v>
                </c:pt>
                <c:pt idx="2">
                  <c:v>44440</c:v>
                </c:pt>
                <c:pt idx="3">
                  <c:v>44531</c:v>
                </c:pt>
              </c:numCache>
            </c:numRef>
          </c:cat>
          <c:val>
            <c:numRef>
              <c:f>'Pivot tables'!$H$24:$H$27</c:f>
              <c:numCache>
                <c:formatCode>0</c:formatCode>
                <c:ptCount val="4"/>
                <c:pt idx="0">
                  <c:v>68910</c:v>
                </c:pt>
                <c:pt idx="1">
                  <c:v>48734</c:v>
                </c:pt>
                <c:pt idx="2">
                  <c:v>49694</c:v>
                </c:pt>
                <c:pt idx="3">
                  <c:v>50280</c:v>
                </c:pt>
              </c:numCache>
            </c:numRef>
          </c:val>
          <c:extLst>
            <c:ext xmlns:c16="http://schemas.microsoft.com/office/drawing/2014/chart" uri="{C3380CC4-5D6E-409C-BE32-E72D297353CC}">
              <c16:uniqueId val="{00000001-5786-475D-A3DC-118C63DF4533}"/>
            </c:ext>
          </c:extLst>
        </c:ser>
        <c:ser>
          <c:idx val="2"/>
          <c:order val="2"/>
          <c:tx>
            <c:strRef>
              <c:f>'Pivot tables'!$I$23</c:f>
              <c:strCache>
                <c:ptCount val="1"/>
                <c:pt idx="0">
                  <c:v>Final count</c:v>
                </c:pt>
              </c:strCache>
            </c:strRef>
          </c:tx>
          <c:spPr>
            <a:solidFill>
              <a:srgbClr val="0081C6"/>
            </a:solidFill>
          </c:spPr>
          <c:invertIfNegative val="0"/>
          <c:dLbls>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tables'!$F$24:$F$27</c:f>
              <c:numCache>
                <c:formatCode>[$-409]mmm\-yy;@</c:formatCode>
                <c:ptCount val="4"/>
                <c:pt idx="0">
                  <c:v>44256</c:v>
                </c:pt>
                <c:pt idx="1">
                  <c:v>44348</c:v>
                </c:pt>
                <c:pt idx="2">
                  <c:v>44440</c:v>
                </c:pt>
                <c:pt idx="3">
                  <c:v>44531</c:v>
                </c:pt>
              </c:numCache>
            </c:numRef>
          </c:cat>
          <c:val>
            <c:numRef>
              <c:f>'Pivot tables'!$I$24:$I$27</c:f>
              <c:numCache>
                <c:formatCode>0</c:formatCode>
                <c:ptCount val="4"/>
                <c:pt idx="0">
                  <c:v>69148</c:v>
                </c:pt>
                <c:pt idx="1">
                  <c:v>48972</c:v>
                </c:pt>
                <c:pt idx="2">
                  <c:v>50025</c:v>
                </c:pt>
                <c:pt idx="3">
                  <c:v>50676</c:v>
                </c:pt>
              </c:numCache>
            </c:numRef>
          </c:val>
          <c:extLst>
            <c:ext xmlns:c16="http://schemas.microsoft.com/office/drawing/2014/chart" uri="{C3380CC4-5D6E-409C-BE32-E72D297353CC}">
              <c16:uniqueId val="{00000002-5786-475D-A3DC-118C63DF4533}"/>
            </c:ext>
          </c:extLst>
        </c:ser>
        <c:dLbls>
          <c:showLegendKey val="0"/>
          <c:showVal val="0"/>
          <c:showCatName val="0"/>
          <c:showSerName val="0"/>
          <c:showPercent val="0"/>
          <c:showBubbleSize val="0"/>
        </c:dLbls>
        <c:gapWidth val="150"/>
        <c:overlap val="-10"/>
        <c:axId val="343031168"/>
        <c:axId val="343037440"/>
      </c:barChart>
      <c:catAx>
        <c:axId val="343031168"/>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AU">
                    <a:latin typeface="Arial" panose="020B0604020202020204" pitchFamily="34" charset="0"/>
                    <a:cs typeface="Arial" panose="020B0604020202020204" pitchFamily="34" charset="0"/>
                  </a:rPr>
                  <a:t>Review quarter</a:t>
                </a:r>
              </a:p>
            </c:rich>
          </c:tx>
          <c:layout>
            <c:manualLayout>
              <c:xMode val="edge"/>
              <c:yMode val="edge"/>
              <c:x val="0.36283138745587834"/>
              <c:y val="0.94053637741382512"/>
            </c:manualLayout>
          </c:layout>
          <c:overlay val="0"/>
        </c:title>
        <c:numFmt formatCode="[$-409]mmm\-yy;@"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037440"/>
        <c:crosses val="autoZero"/>
        <c:auto val="0"/>
        <c:lblAlgn val="ctr"/>
        <c:lblOffset val="100"/>
        <c:noMultiLvlLbl val="0"/>
      </c:catAx>
      <c:valAx>
        <c:axId val="343037440"/>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031168"/>
        <c:crosses val="autoZero"/>
        <c:crossBetween val="between"/>
      </c:valAx>
    </c:plotArea>
    <c:legend>
      <c:legendPos val="r"/>
      <c:layout>
        <c:manualLayout>
          <c:xMode val="edge"/>
          <c:yMode val="edge"/>
          <c:x val="0.83105819531179292"/>
          <c:y val="0.26869526028512902"/>
          <c:w val="0.15760637261627355"/>
          <c:h val="0.4988925382949557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chemeClr val="accent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Final count and 95% prediction</a:t>
            </a:r>
            <a:r>
              <a:rPr lang="en-US" sz="1400" baseline="0">
                <a:latin typeface="Arial" panose="020B0604020202020204" pitchFamily="34" charset="0"/>
                <a:cs typeface="Arial" panose="020B0604020202020204" pitchFamily="34" charset="0"/>
              </a:rPr>
              <a:t> interval for </a:t>
            </a:r>
            <a:r>
              <a:rPr lang="en-US" sz="1400" u="sng" baseline="0">
                <a:latin typeface="Arial" panose="020B0604020202020204" pitchFamily="34" charset="0"/>
                <a:cs typeface="Arial" panose="020B0604020202020204" pitchFamily="34" charset="0"/>
              </a:rPr>
              <a:t>selected</a:t>
            </a:r>
            <a:r>
              <a:rPr lang="en-US" sz="1400" baseline="0">
                <a:latin typeface="Arial" panose="020B0604020202020204" pitchFamily="34" charset="0"/>
                <a:cs typeface="Arial" panose="020B0604020202020204" pitchFamily="34" charset="0"/>
              </a:rPr>
              <a:t> estimate</a:t>
            </a:r>
            <a:endParaRPr lang="en-US" sz="1400">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0.15202501069411878"/>
          <c:y val="0.20720488723084579"/>
          <c:w val="0.65745842292062795"/>
          <c:h val="0.75755987531215474"/>
        </c:manualLayout>
      </c:layout>
      <c:barChart>
        <c:barDir val="bar"/>
        <c:grouping val="clustered"/>
        <c:varyColors val="0"/>
        <c:ser>
          <c:idx val="0"/>
          <c:order val="0"/>
          <c:tx>
            <c:strRef>
              <c:f>'Pivot tables'!$B$23</c:f>
              <c:strCache>
                <c:ptCount val="1"/>
                <c:pt idx="0">
                  <c:v>Lower boundary of prediction interval</c:v>
                </c:pt>
              </c:strCache>
            </c:strRef>
          </c:tx>
          <c:spPr>
            <a:solidFill>
              <a:srgbClr val="809BB3"/>
            </a:solidFill>
          </c:spPr>
          <c:invertIfNegative val="0"/>
          <c:dLbls>
            <c:spPr>
              <a:noFill/>
              <a:ln>
                <a:noFill/>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tables'!$A$24:$A$27</c:f>
              <c:numCache>
                <c:formatCode>[$-409]mmm\-yy;@</c:formatCode>
                <c:ptCount val="4"/>
                <c:pt idx="0">
                  <c:v>44256</c:v>
                </c:pt>
                <c:pt idx="1">
                  <c:v>44348</c:v>
                </c:pt>
                <c:pt idx="2">
                  <c:v>44440</c:v>
                </c:pt>
                <c:pt idx="3">
                  <c:v>44531</c:v>
                </c:pt>
              </c:numCache>
            </c:numRef>
          </c:cat>
          <c:val>
            <c:numRef>
              <c:f>'Pivot tables'!$B$24:$B$27</c:f>
              <c:numCache>
                <c:formatCode>0</c:formatCode>
                <c:ptCount val="4"/>
                <c:pt idx="0">
                  <c:v>68606</c:v>
                </c:pt>
                <c:pt idx="1">
                  <c:v>48536</c:v>
                </c:pt>
                <c:pt idx="2">
                  <c:v>49481</c:v>
                </c:pt>
                <c:pt idx="3">
                  <c:v>50053</c:v>
                </c:pt>
              </c:numCache>
            </c:numRef>
          </c:val>
          <c:extLst>
            <c:ext xmlns:c16="http://schemas.microsoft.com/office/drawing/2014/chart" uri="{C3380CC4-5D6E-409C-BE32-E72D297353CC}">
              <c16:uniqueId val="{00000000-348C-4311-BEDC-14415E645347}"/>
            </c:ext>
          </c:extLst>
        </c:ser>
        <c:ser>
          <c:idx val="1"/>
          <c:order val="1"/>
          <c:tx>
            <c:strRef>
              <c:f>'Pivot tables'!$C$23</c:f>
              <c:strCache>
                <c:ptCount val="1"/>
                <c:pt idx="0">
                  <c:v>Final count</c:v>
                </c:pt>
              </c:strCache>
            </c:strRef>
          </c:tx>
          <c:spPr>
            <a:solidFill>
              <a:srgbClr val="40698D"/>
            </a:solidFill>
          </c:spPr>
          <c:invertIfNegative val="0"/>
          <c:dLbls>
            <c:spPr>
              <a:noFill/>
              <a:ln>
                <a:noFill/>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tables'!$A$24:$A$27</c:f>
              <c:numCache>
                <c:formatCode>[$-409]mmm\-yy;@</c:formatCode>
                <c:ptCount val="4"/>
                <c:pt idx="0">
                  <c:v>44256</c:v>
                </c:pt>
                <c:pt idx="1">
                  <c:v>44348</c:v>
                </c:pt>
                <c:pt idx="2">
                  <c:v>44440</c:v>
                </c:pt>
                <c:pt idx="3">
                  <c:v>44531</c:v>
                </c:pt>
              </c:numCache>
            </c:numRef>
          </c:cat>
          <c:val>
            <c:numRef>
              <c:f>'Pivot tables'!$C$24:$C$27</c:f>
              <c:numCache>
                <c:formatCode>0</c:formatCode>
                <c:ptCount val="4"/>
                <c:pt idx="0">
                  <c:v>69148</c:v>
                </c:pt>
                <c:pt idx="1">
                  <c:v>48972</c:v>
                </c:pt>
                <c:pt idx="2">
                  <c:v>50025</c:v>
                </c:pt>
                <c:pt idx="3">
                  <c:v>50676</c:v>
                </c:pt>
              </c:numCache>
            </c:numRef>
          </c:val>
          <c:extLst>
            <c:ext xmlns:c16="http://schemas.microsoft.com/office/drawing/2014/chart" uri="{C3380CC4-5D6E-409C-BE32-E72D297353CC}">
              <c16:uniqueId val="{00000001-348C-4311-BEDC-14415E645347}"/>
            </c:ext>
          </c:extLst>
        </c:ser>
        <c:ser>
          <c:idx val="2"/>
          <c:order val="2"/>
          <c:tx>
            <c:strRef>
              <c:f>'Pivot tables'!$D$23</c:f>
              <c:strCache>
                <c:ptCount val="1"/>
                <c:pt idx="0">
                  <c:v>Upper boundary of prediction interval</c:v>
                </c:pt>
              </c:strCache>
            </c:strRef>
          </c:tx>
          <c:spPr>
            <a:solidFill>
              <a:srgbClr val="003767"/>
            </a:solidFill>
          </c:spPr>
          <c:invertIfNegative val="0"/>
          <c:dLbls>
            <c:spPr>
              <a:noFill/>
              <a:ln>
                <a:noFill/>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tables'!$A$24:$A$27</c:f>
              <c:numCache>
                <c:formatCode>[$-409]mmm\-yy;@</c:formatCode>
                <c:ptCount val="4"/>
                <c:pt idx="0">
                  <c:v>44256</c:v>
                </c:pt>
                <c:pt idx="1">
                  <c:v>44348</c:v>
                </c:pt>
                <c:pt idx="2">
                  <c:v>44440</c:v>
                </c:pt>
                <c:pt idx="3">
                  <c:v>44531</c:v>
                </c:pt>
              </c:numCache>
            </c:numRef>
          </c:cat>
          <c:val>
            <c:numRef>
              <c:f>'Pivot tables'!$D$24:$D$27</c:f>
              <c:numCache>
                <c:formatCode>0</c:formatCode>
                <c:ptCount val="4"/>
                <c:pt idx="0">
                  <c:v>69214</c:v>
                </c:pt>
                <c:pt idx="1">
                  <c:v>48932</c:v>
                </c:pt>
                <c:pt idx="2">
                  <c:v>49907</c:v>
                </c:pt>
                <c:pt idx="3">
                  <c:v>50507</c:v>
                </c:pt>
              </c:numCache>
            </c:numRef>
          </c:val>
          <c:extLst>
            <c:ext xmlns:c16="http://schemas.microsoft.com/office/drawing/2014/chart" uri="{C3380CC4-5D6E-409C-BE32-E72D297353CC}">
              <c16:uniqueId val="{00000002-348C-4311-BEDC-14415E645347}"/>
            </c:ext>
          </c:extLst>
        </c:ser>
        <c:dLbls>
          <c:showLegendKey val="0"/>
          <c:showVal val="0"/>
          <c:showCatName val="0"/>
          <c:showSerName val="0"/>
          <c:showPercent val="0"/>
          <c:showBubbleSize val="0"/>
        </c:dLbls>
        <c:gapWidth val="150"/>
        <c:overlap val="-10"/>
        <c:axId val="343355776"/>
        <c:axId val="343357696"/>
      </c:barChart>
      <c:catAx>
        <c:axId val="343355776"/>
        <c:scaling>
          <c:orientation val="maxMin"/>
        </c:scaling>
        <c:delete val="0"/>
        <c:axPos val="l"/>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Review quarter</a:t>
                </a:r>
              </a:p>
            </c:rich>
          </c:tx>
          <c:layout>
            <c:manualLayout>
              <c:xMode val="edge"/>
              <c:yMode val="edge"/>
              <c:x val="1.1544012593336069E-2"/>
              <c:y val="0.45618749737087527"/>
            </c:manualLayout>
          </c:layout>
          <c:overlay val="0"/>
        </c:title>
        <c:numFmt formatCode="[$-409]mmm\-yy;@"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357696"/>
        <c:crosses val="autoZero"/>
        <c:auto val="0"/>
        <c:lblAlgn val="ctr"/>
        <c:lblOffset val="100"/>
        <c:noMultiLvlLbl val="0"/>
      </c:catAx>
      <c:valAx>
        <c:axId val="343357696"/>
        <c:scaling>
          <c:orientation val="minMax"/>
        </c:scaling>
        <c:delete val="0"/>
        <c:axPos val="t"/>
        <c:majorGridlines>
          <c:spPr>
            <a:ln>
              <a:solidFill>
                <a:schemeClr val="bg1">
                  <a:lumMod val="85000"/>
                </a:schemeClr>
              </a:solidFill>
            </a:ln>
          </c:spPr>
        </c:majorGridlines>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355776"/>
        <c:crosses val="autoZero"/>
        <c:crossBetween val="between"/>
      </c:valAx>
    </c:plotArea>
    <c:legend>
      <c:legendPos val="r"/>
      <c:layout>
        <c:manualLayout>
          <c:xMode val="edge"/>
          <c:yMode val="edge"/>
          <c:x val="0.82166736627624881"/>
          <c:y val="0.29628387226165626"/>
          <c:w val="0.16217101609308071"/>
          <c:h val="0.52639471548305528"/>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chemeClr val="accent1"/>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How do the published and model estimates compare with the final count?</a:t>
            </a:r>
          </a:p>
        </c:rich>
      </c:tx>
      <c:overlay val="0"/>
    </c:title>
    <c:autoTitleDeleted val="0"/>
    <c:plotArea>
      <c:layout>
        <c:manualLayout>
          <c:layoutTarget val="inner"/>
          <c:xMode val="edge"/>
          <c:yMode val="edge"/>
          <c:x val="0.11703584864690718"/>
          <c:y val="0.1932189032051789"/>
          <c:w val="0.69311719548314199"/>
          <c:h val="0.66918875663832755"/>
        </c:manualLayout>
      </c:layout>
      <c:lineChart>
        <c:grouping val="standard"/>
        <c:varyColors val="0"/>
        <c:ser>
          <c:idx val="0"/>
          <c:order val="0"/>
          <c:tx>
            <c:strRef>
              <c:f>'Pivot tables'!$L$23</c:f>
              <c:strCache>
                <c:ptCount val="1"/>
                <c:pt idx="0">
                  <c:v>Published estimate as % of final count</c:v>
                </c:pt>
              </c:strCache>
            </c:strRef>
          </c:tx>
          <c:spPr>
            <a:ln w="15875">
              <a:solidFill>
                <a:srgbClr val="78278B"/>
              </a:solidFill>
            </a:ln>
          </c:spPr>
          <c:marker>
            <c:symbol val="circle"/>
            <c:size val="5"/>
            <c:spPr>
              <a:solidFill>
                <a:srgbClr val="78278B"/>
              </a:solidFill>
              <a:ln>
                <a:solidFill>
                  <a:srgbClr val="78278B"/>
                </a:solidFill>
              </a:ln>
            </c:spPr>
          </c:marker>
          <c:dLbls>
            <c:spPr>
              <a:noFill/>
              <a:ln>
                <a:noFill/>
              </a:ln>
              <a:effectLst/>
            </c:spPr>
            <c:txPr>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tables'!$K$24:$K$27</c:f>
              <c:numCache>
                <c:formatCode>[$-409]mmm\-yy;@</c:formatCode>
                <c:ptCount val="4"/>
                <c:pt idx="0">
                  <c:v>44256</c:v>
                </c:pt>
                <c:pt idx="1">
                  <c:v>44348</c:v>
                </c:pt>
                <c:pt idx="2">
                  <c:v>44440</c:v>
                </c:pt>
                <c:pt idx="3">
                  <c:v>44531</c:v>
                </c:pt>
              </c:numCache>
            </c:numRef>
          </c:cat>
          <c:val>
            <c:numRef>
              <c:f>'Pivot tables'!$L$24:$L$27</c:f>
              <c:numCache>
                <c:formatCode>0.0%</c:formatCode>
                <c:ptCount val="4"/>
                <c:pt idx="0">
                  <c:v>0.997</c:v>
                </c:pt>
                <c:pt idx="1">
                  <c:v>0.995</c:v>
                </c:pt>
                <c:pt idx="2">
                  <c:v>0.99299999999999999</c:v>
                </c:pt>
                <c:pt idx="3">
                  <c:v>0.99199999999999999</c:v>
                </c:pt>
              </c:numCache>
            </c:numRef>
          </c:val>
          <c:smooth val="0"/>
          <c:extLst>
            <c:ext xmlns:c16="http://schemas.microsoft.com/office/drawing/2014/chart" uri="{C3380CC4-5D6E-409C-BE32-E72D297353CC}">
              <c16:uniqueId val="{00000000-34F4-4D63-9702-5F12EC43F890}"/>
            </c:ext>
          </c:extLst>
        </c:ser>
        <c:ser>
          <c:idx val="1"/>
          <c:order val="1"/>
          <c:tx>
            <c:strRef>
              <c:f>'Pivot tables'!$M$23</c:f>
              <c:strCache>
                <c:ptCount val="1"/>
                <c:pt idx="0">
                  <c:v>Model estimate as % of final count  </c:v>
                </c:pt>
              </c:strCache>
            </c:strRef>
          </c:tx>
          <c:spPr>
            <a:ln w="15875">
              <a:solidFill>
                <a:srgbClr val="BC93C5"/>
              </a:solidFill>
            </a:ln>
          </c:spPr>
          <c:marker>
            <c:symbol val="circle"/>
            <c:size val="5"/>
            <c:spPr>
              <a:solidFill>
                <a:srgbClr val="BC93C5"/>
              </a:solidFill>
              <a:ln w="9525">
                <a:solidFill>
                  <a:srgbClr val="BC93C5"/>
                </a:solidFill>
              </a:ln>
            </c:spPr>
          </c:marker>
          <c:dLbls>
            <c:spPr>
              <a:noFill/>
              <a:ln>
                <a:noFill/>
              </a:ln>
              <a:effectLst/>
            </c:spPr>
            <c:txPr>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tables'!$K$24:$K$27</c:f>
              <c:numCache>
                <c:formatCode>[$-409]mmm\-yy;@</c:formatCode>
                <c:ptCount val="4"/>
                <c:pt idx="0">
                  <c:v>44256</c:v>
                </c:pt>
                <c:pt idx="1">
                  <c:v>44348</c:v>
                </c:pt>
                <c:pt idx="2">
                  <c:v>44440</c:v>
                </c:pt>
                <c:pt idx="3">
                  <c:v>44531</c:v>
                </c:pt>
              </c:numCache>
            </c:numRef>
          </c:cat>
          <c:val>
            <c:numRef>
              <c:f>'Pivot tables'!$M$24:$M$27</c:f>
              <c:numCache>
                <c:formatCode>0.0%</c:formatCode>
                <c:ptCount val="4"/>
                <c:pt idx="0">
                  <c:v>#N/A</c:v>
                </c:pt>
                <c:pt idx="1">
                  <c:v>#N/A</c:v>
                </c:pt>
                <c:pt idx="2">
                  <c:v>#N/A</c:v>
                </c:pt>
                <c:pt idx="3">
                  <c:v>#N/A</c:v>
                </c:pt>
              </c:numCache>
            </c:numRef>
          </c:val>
          <c:smooth val="0"/>
          <c:extLst>
            <c:ext xmlns:c16="http://schemas.microsoft.com/office/drawing/2014/chart" uri="{C3380CC4-5D6E-409C-BE32-E72D297353CC}">
              <c16:uniqueId val="{00000001-34F4-4D63-9702-5F12EC43F890}"/>
            </c:ext>
          </c:extLst>
        </c:ser>
        <c:ser>
          <c:idx val="2"/>
          <c:order val="2"/>
          <c:tx>
            <c:strRef>
              <c:f>'Pivot tables'!$N$23</c:f>
              <c:strCache>
                <c:ptCount val="1"/>
                <c:pt idx="0">
                  <c:v>Final count (100%)</c:v>
                </c:pt>
              </c:strCache>
            </c:strRef>
          </c:tx>
          <c:spPr>
            <a:ln w="15875">
              <a:solidFill>
                <a:srgbClr val="439539"/>
              </a:solidFill>
            </a:ln>
          </c:spPr>
          <c:marker>
            <c:symbol val="circle"/>
            <c:size val="5"/>
            <c:spPr>
              <a:solidFill>
                <a:srgbClr val="439539"/>
              </a:solidFill>
              <a:ln>
                <a:solidFill>
                  <a:srgbClr val="439539"/>
                </a:solidFill>
              </a:ln>
            </c:spPr>
          </c:marker>
          <c:cat>
            <c:numRef>
              <c:f>'Pivot tables'!$K$24:$K$27</c:f>
              <c:numCache>
                <c:formatCode>[$-409]mmm\-yy;@</c:formatCode>
                <c:ptCount val="4"/>
                <c:pt idx="0">
                  <c:v>44256</c:v>
                </c:pt>
                <c:pt idx="1">
                  <c:v>44348</c:v>
                </c:pt>
                <c:pt idx="2">
                  <c:v>44440</c:v>
                </c:pt>
                <c:pt idx="3">
                  <c:v>44531</c:v>
                </c:pt>
              </c:numCache>
            </c:numRef>
          </c:cat>
          <c:val>
            <c:numRef>
              <c:f>'Pivot tables'!$N$24:$N$27</c:f>
              <c:numCache>
                <c:formatCode>0%</c:formatCode>
                <c:ptCount val="4"/>
                <c:pt idx="0">
                  <c:v>1</c:v>
                </c:pt>
                <c:pt idx="1">
                  <c:v>1</c:v>
                </c:pt>
                <c:pt idx="2">
                  <c:v>1</c:v>
                </c:pt>
                <c:pt idx="3">
                  <c:v>1</c:v>
                </c:pt>
              </c:numCache>
            </c:numRef>
          </c:val>
          <c:smooth val="0"/>
          <c:extLst>
            <c:ext xmlns:c16="http://schemas.microsoft.com/office/drawing/2014/chart" uri="{C3380CC4-5D6E-409C-BE32-E72D297353CC}">
              <c16:uniqueId val="{00000002-34F4-4D63-9702-5F12EC43F890}"/>
            </c:ext>
          </c:extLst>
        </c:ser>
        <c:dLbls>
          <c:showLegendKey val="0"/>
          <c:showVal val="0"/>
          <c:showCatName val="0"/>
          <c:showSerName val="0"/>
          <c:showPercent val="0"/>
          <c:showBubbleSize val="0"/>
        </c:dLbls>
        <c:marker val="1"/>
        <c:smooth val="0"/>
        <c:axId val="343089920"/>
        <c:axId val="343091840"/>
      </c:lineChart>
      <c:catAx>
        <c:axId val="34308992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Review quarter</a:t>
                </a:r>
              </a:p>
            </c:rich>
          </c:tx>
          <c:layout>
            <c:manualLayout>
              <c:xMode val="edge"/>
              <c:yMode val="edge"/>
              <c:x val="0.38331797758332603"/>
              <c:y val="0.93783230283011165"/>
            </c:manualLayout>
          </c:layout>
          <c:overlay val="0"/>
        </c:title>
        <c:numFmt formatCode="[$-409]mmm\-yy;@"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091840"/>
        <c:crosses val="autoZero"/>
        <c:auto val="0"/>
        <c:lblAlgn val="ctr"/>
        <c:lblOffset val="100"/>
        <c:noMultiLvlLbl val="0"/>
      </c:catAx>
      <c:valAx>
        <c:axId val="343091840"/>
        <c:scaling>
          <c:orientation val="minMax"/>
        </c:scaling>
        <c:delete val="0"/>
        <c:axPos val="l"/>
        <c:majorGridlines>
          <c:spPr>
            <a:ln>
              <a:solidFill>
                <a:schemeClr val="bg1">
                  <a:lumMod val="85000"/>
                </a:schemeClr>
              </a:solidFill>
            </a:ln>
          </c:spPr>
        </c:majorGridlines>
        <c:numFmt formatCode="0.0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089920"/>
        <c:crosses val="autoZero"/>
        <c:crossBetween val="between"/>
      </c:valAx>
    </c:plotArea>
    <c:legend>
      <c:legendPos val="r"/>
      <c:layout>
        <c:manualLayout>
          <c:xMode val="edge"/>
          <c:yMode val="edge"/>
          <c:x val="0.81936830816278294"/>
          <c:y val="0.27170143428838339"/>
          <c:w val="0.16680879578811642"/>
          <c:h val="0.5742249584367851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rgbClr val="0F83CB"/>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Arial" panose="020B0604020202020204" pitchFamily="34" charset="0"/>
                <a:cs typeface="Arial" panose="020B0604020202020204" pitchFamily="34" charset="0"/>
              </a:defRPr>
            </a:pPr>
            <a:r>
              <a:rPr lang="en-AU" sz="1600">
                <a:latin typeface="Arial" panose="020B0604020202020204" pitchFamily="34" charset="0"/>
                <a:cs typeface="Arial" panose="020B0604020202020204" pitchFamily="34" charset="0"/>
              </a:rPr>
              <a:t>Summary</a:t>
            </a:r>
          </a:p>
        </c:rich>
      </c:tx>
      <c:layout>
        <c:manualLayout>
          <c:xMode val="edge"/>
          <c:yMode val="edge"/>
          <c:x val="0.45429894937430099"/>
          <c:y val="2.1122116602399439E-2"/>
        </c:manualLayout>
      </c:layout>
      <c:overlay val="0"/>
    </c:title>
    <c:autoTitleDeleted val="0"/>
    <c:plotArea>
      <c:layout>
        <c:manualLayout>
          <c:layoutTarget val="inner"/>
          <c:xMode val="edge"/>
          <c:yMode val="edge"/>
          <c:x val="7.2362121782467523E-2"/>
          <c:y val="0.12196393929019742"/>
          <c:w val="0.72469821000842671"/>
          <c:h val="0.74040807942485454"/>
        </c:manualLayout>
      </c:layout>
      <c:barChart>
        <c:barDir val="col"/>
        <c:grouping val="clustered"/>
        <c:varyColors val="0"/>
        <c:ser>
          <c:idx val="2"/>
          <c:order val="0"/>
          <c:tx>
            <c:strRef>
              <c:f>'Summary table'!$H$32</c:f>
              <c:strCache>
                <c:ptCount val="1"/>
                <c:pt idx="0">
                  <c:v>Collected count from STAs</c:v>
                </c:pt>
              </c:strCache>
            </c:strRef>
          </c:tx>
          <c:spPr>
            <a:solidFill>
              <a:srgbClr val="003767"/>
            </a:solidFill>
          </c:spPr>
          <c:invertIfNegative val="0"/>
          <c:dPt>
            <c:idx val="0"/>
            <c:invertIfNegative val="0"/>
            <c:bubble3D val="0"/>
            <c:extLst>
              <c:ext xmlns:c16="http://schemas.microsoft.com/office/drawing/2014/chart" uri="{C3380CC4-5D6E-409C-BE32-E72D297353CC}">
                <c16:uniqueId val="{00000000-BD03-49EB-9C1D-34BE368AC9BB}"/>
              </c:ext>
            </c:extLst>
          </c:dPt>
          <c:dPt>
            <c:idx val="1"/>
            <c:invertIfNegative val="0"/>
            <c:bubble3D val="0"/>
            <c:extLst>
              <c:ext xmlns:c16="http://schemas.microsoft.com/office/drawing/2014/chart" uri="{C3380CC4-5D6E-409C-BE32-E72D297353CC}">
                <c16:uniqueId val="{00000001-BD03-49EB-9C1D-34BE368AC9BB}"/>
              </c:ext>
            </c:extLst>
          </c:dPt>
          <c:dPt>
            <c:idx val="2"/>
            <c:invertIfNegative val="0"/>
            <c:bubble3D val="0"/>
            <c:extLst>
              <c:ext xmlns:c16="http://schemas.microsoft.com/office/drawing/2014/chart" uri="{C3380CC4-5D6E-409C-BE32-E72D297353CC}">
                <c16:uniqueId val="{00000002-BD03-49EB-9C1D-34BE368AC9BB}"/>
              </c:ext>
            </c:extLst>
          </c:dPt>
          <c:dPt>
            <c:idx val="3"/>
            <c:invertIfNegative val="0"/>
            <c:bubble3D val="0"/>
            <c:extLst>
              <c:ext xmlns:c16="http://schemas.microsoft.com/office/drawing/2014/chart" uri="{C3380CC4-5D6E-409C-BE32-E72D297353CC}">
                <c16:uniqueId val="{00000003-BD03-49EB-9C1D-34BE368AC9BB}"/>
              </c:ext>
            </c:extLst>
          </c:dPt>
          <c:dLbls>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table'!$G$33:$G$36</c:f>
              <c:numCache>
                <c:formatCode>[$-409]mmm\-yy;@</c:formatCode>
                <c:ptCount val="4"/>
                <c:pt idx="0">
                  <c:v>44256</c:v>
                </c:pt>
                <c:pt idx="1">
                  <c:v>44348</c:v>
                </c:pt>
                <c:pt idx="2">
                  <c:v>44440</c:v>
                </c:pt>
                <c:pt idx="3">
                  <c:v>44531</c:v>
                </c:pt>
              </c:numCache>
            </c:numRef>
          </c:cat>
          <c:val>
            <c:numRef>
              <c:f>'Summary table'!$H$33:$H$36</c:f>
              <c:numCache>
                <c:formatCode>General</c:formatCode>
                <c:ptCount val="4"/>
                <c:pt idx="0">
                  <c:v>68536</c:v>
                </c:pt>
                <c:pt idx="1">
                  <c:v>48475</c:v>
                </c:pt>
                <c:pt idx="2">
                  <c:v>49408</c:v>
                </c:pt>
                <c:pt idx="3">
                  <c:v>49943</c:v>
                </c:pt>
              </c:numCache>
            </c:numRef>
          </c:val>
          <c:extLst>
            <c:ext xmlns:c16="http://schemas.microsoft.com/office/drawing/2014/chart" uri="{C3380CC4-5D6E-409C-BE32-E72D297353CC}">
              <c16:uniqueId val="{00000004-BD03-49EB-9C1D-34BE368AC9BB}"/>
            </c:ext>
          </c:extLst>
        </c:ser>
        <c:ser>
          <c:idx val="0"/>
          <c:order val="1"/>
          <c:tx>
            <c:strRef>
              <c:f>'Summary table'!$I$32</c:f>
              <c:strCache>
                <c:ptCount val="1"/>
                <c:pt idx="0">
                  <c:v>NCVER published estimate </c:v>
                </c:pt>
              </c:strCache>
            </c:strRef>
          </c:tx>
          <c:spPr>
            <a:solidFill>
              <a:srgbClr val="439539"/>
            </a:solidFill>
          </c:spPr>
          <c:invertIfNegative val="0"/>
          <c:dLbls>
            <c:numFmt formatCode="0" sourceLinked="0"/>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table'!$G$33:$G$36</c:f>
              <c:numCache>
                <c:formatCode>[$-409]mmm\-yy;@</c:formatCode>
                <c:ptCount val="4"/>
                <c:pt idx="0">
                  <c:v>44256</c:v>
                </c:pt>
                <c:pt idx="1">
                  <c:v>44348</c:v>
                </c:pt>
                <c:pt idx="2">
                  <c:v>44440</c:v>
                </c:pt>
                <c:pt idx="3">
                  <c:v>44531</c:v>
                </c:pt>
              </c:numCache>
            </c:numRef>
          </c:cat>
          <c:val>
            <c:numRef>
              <c:f>'Summary table'!$I$33:$I$36</c:f>
              <c:numCache>
                <c:formatCode>General</c:formatCode>
                <c:ptCount val="4"/>
                <c:pt idx="0">
                  <c:v>68910</c:v>
                </c:pt>
                <c:pt idx="1">
                  <c:v>48734</c:v>
                </c:pt>
                <c:pt idx="2">
                  <c:v>49694</c:v>
                </c:pt>
                <c:pt idx="3">
                  <c:v>50280</c:v>
                </c:pt>
              </c:numCache>
            </c:numRef>
          </c:val>
          <c:extLst>
            <c:ext xmlns:c16="http://schemas.microsoft.com/office/drawing/2014/chart" uri="{C3380CC4-5D6E-409C-BE32-E72D297353CC}">
              <c16:uniqueId val="{00000005-BD03-49EB-9C1D-34BE368AC9BB}"/>
            </c:ext>
          </c:extLst>
        </c:ser>
        <c:ser>
          <c:idx val="4"/>
          <c:order val="3"/>
          <c:tx>
            <c:strRef>
              <c:f>'Summary table'!$K$32</c:f>
              <c:strCache>
                <c:ptCount val="1"/>
                <c:pt idx="0">
                  <c:v>Final count</c:v>
                </c:pt>
              </c:strCache>
            </c:strRef>
          </c:tx>
          <c:spPr>
            <a:solidFill>
              <a:srgbClr val="0081C6"/>
            </a:solidFill>
          </c:spPr>
          <c:invertIfNegative val="0"/>
          <c:dLbls>
            <c:numFmt formatCode="0" sourceLinked="0"/>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table'!$G$33:$G$36</c:f>
              <c:numCache>
                <c:formatCode>[$-409]mmm\-yy;@</c:formatCode>
                <c:ptCount val="4"/>
                <c:pt idx="0">
                  <c:v>44256</c:v>
                </c:pt>
                <c:pt idx="1">
                  <c:v>44348</c:v>
                </c:pt>
                <c:pt idx="2">
                  <c:v>44440</c:v>
                </c:pt>
                <c:pt idx="3">
                  <c:v>44531</c:v>
                </c:pt>
              </c:numCache>
            </c:numRef>
          </c:cat>
          <c:val>
            <c:numRef>
              <c:f>'Summary table'!$K$33:$K$36</c:f>
              <c:numCache>
                <c:formatCode>General</c:formatCode>
                <c:ptCount val="4"/>
                <c:pt idx="0">
                  <c:v>69148</c:v>
                </c:pt>
                <c:pt idx="1">
                  <c:v>48972</c:v>
                </c:pt>
                <c:pt idx="2">
                  <c:v>50025</c:v>
                </c:pt>
                <c:pt idx="3">
                  <c:v>50676</c:v>
                </c:pt>
              </c:numCache>
            </c:numRef>
          </c:val>
          <c:extLst>
            <c:ext xmlns:c16="http://schemas.microsoft.com/office/drawing/2014/chart" uri="{C3380CC4-5D6E-409C-BE32-E72D297353CC}">
              <c16:uniqueId val="{00000006-BD03-49EB-9C1D-34BE368AC9BB}"/>
            </c:ext>
          </c:extLst>
        </c:ser>
        <c:dLbls>
          <c:showLegendKey val="0"/>
          <c:showVal val="0"/>
          <c:showCatName val="0"/>
          <c:showSerName val="0"/>
          <c:showPercent val="0"/>
          <c:showBubbleSize val="0"/>
        </c:dLbls>
        <c:gapWidth val="150"/>
        <c:overlap val="-10"/>
        <c:axId val="343151744"/>
        <c:axId val="343153664"/>
      </c:barChart>
      <c:lineChart>
        <c:grouping val="standard"/>
        <c:varyColors val="0"/>
        <c:ser>
          <c:idx val="1"/>
          <c:order val="2"/>
          <c:tx>
            <c:strRef>
              <c:f>'Summary table'!$J$32</c:f>
              <c:strCache>
                <c:ptCount val="1"/>
                <c:pt idx="0">
                  <c:v>Estimate as percentage of final count</c:v>
                </c:pt>
              </c:strCache>
            </c:strRef>
          </c:tx>
          <c:spPr>
            <a:ln w="22225">
              <a:solidFill>
                <a:srgbClr val="78278B"/>
              </a:solidFill>
            </a:ln>
          </c:spPr>
          <c:marker>
            <c:symbol val="circle"/>
            <c:size val="5"/>
            <c:spPr>
              <a:solidFill>
                <a:srgbClr val="78278B"/>
              </a:solidFill>
              <a:ln>
                <a:solidFill>
                  <a:srgbClr val="78278B"/>
                </a:solidFill>
              </a:ln>
            </c:spPr>
          </c:marker>
          <c:dLbls>
            <c:dLbl>
              <c:idx val="0"/>
              <c:layout>
                <c:manualLayout>
                  <c:x val="-1.6939011666466414E-2"/>
                  <c:y val="-3.7230218331778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03-49EB-9C1D-34BE368AC9BB}"/>
                </c:ext>
              </c:extLst>
            </c:dLbl>
            <c:dLbl>
              <c:idx val="1"/>
              <c:layout>
                <c:manualLayout>
                  <c:x val="-2.2585348888621886E-2"/>
                  <c:y val="-4.3435254720408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D03-49EB-9C1D-34BE368AC9BB}"/>
                </c:ext>
              </c:extLst>
            </c:dLbl>
            <c:dLbl>
              <c:idx val="2"/>
              <c:layout>
                <c:manualLayout>
                  <c:x val="-2.2585348888621886E-2"/>
                  <c:y val="-4.3435254720408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D03-49EB-9C1D-34BE368AC9BB}"/>
                </c:ext>
              </c:extLst>
            </c:dLbl>
            <c:dLbl>
              <c:idx val="3"/>
              <c:layout>
                <c:manualLayout>
                  <c:x val="-2.2585348888621886E-2"/>
                  <c:y val="-4.033273652609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D03-49EB-9C1D-34BE368AC9BB}"/>
                </c:ext>
              </c:extLst>
            </c:dLbl>
            <c:spPr>
              <a:solidFill>
                <a:srgbClr val="BC93C5"/>
              </a:solidFill>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table'!$G$33:$G$36</c:f>
              <c:numCache>
                <c:formatCode>[$-409]mmm\-yy;@</c:formatCode>
                <c:ptCount val="4"/>
                <c:pt idx="0">
                  <c:v>44256</c:v>
                </c:pt>
                <c:pt idx="1">
                  <c:v>44348</c:v>
                </c:pt>
                <c:pt idx="2">
                  <c:v>44440</c:v>
                </c:pt>
                <c:pt idx="3">
                  <c:v>44531</c:v>
                </c:pt>
              </c:numCache>
            </c:numRef>
          </c:cat>
          <c:val>
            <c:numRef>
              <c:f>'Summary table'!$J$33:$J$36</c:f>
              <c:numCache>
                <c:formatCode>0.0%</c:formatCode>
                <c:ptCount val="4"/>
                <c:pt idx="0">
                  <c:v>0.997</c:v>
                </c:pt>
                <c:pt idx="1">
                  <c:v>0.995</c:v>
                </c:pt>
                <c:pt idx="2">
                  <c:v>0.99299999999999999</c:v>
                </c:pt>
                <c:pt idx="3">
                  <c:v>0.99199999999999999</c:v>
                </c:pt>
              </c:numCache>
            </c:numRef>
          </c:val>
          <c:smooth val="0"/>
          <c:extLst>
            <c:ext xmlns:c16="http://schemas.microsoft.com/office/drawing/2014/chart" uri="{C3380CC4-5D6E-409C-BE32-E72D297353CC}">
              <c16:uniqueId val="{0000000B-BD03-49EB-9C1D-34BE368AC9BB}"/>
            </c:ext>
          </c:extLst>
        </c:ser>
        <c:dLbls>
          <c:showLegendKey val="0"/>
          <c:showVal val="0"/>
          <c:showCatName val="0"/>
          <c:showSerName val="0"/>
          <c:showPercent val="0"/>
          <c:showBubbleSize val="0"/>
        </c:dLbls>
        <c:marker val="1"/>
        <c:smooth val="0"/>
        <c:axId val="343161088"/>
        <c:axId val="343159552"/>
      </c:lineChart>
      <c:catAx>
        <c:axId val="343151744"/>
        <c:scaling>
          <c:orientation val="minMax"/>
        </c:scaling>
        <c:delete val="0"/>
        <c:axPos val="b"/>
        <c:title>
          <c:tx>
            <c:rich>
              <a:bodyPr/>
              <a:lstStyle/>
              <a:p>
                <a:pPr>
                  <a:defRPr sz="1000">
                    <a:latin typeface="Arial" panose="020B0604020202020204" pitchFamily="34" charset="0"/>
                    <a:cs typeface="Arial" panose="020B0604020202020204" pitchFamily="34" charset="0"/>
                  </a:defRPr>
                </a:pPr>
                <a:r>
                  <a:rPr lang="en-US" sz="1000">
                    <a:latin typeface="Arial" panose="020B0604020202020204" pitchFamily="34" charset="0"/>
                    <a:cs typeface="Arial" panose="020B0604020202020204" pitchFamily="34" charset="0"/>
                  </a:rPr>
                  <a:t>Review quarter</a:t>
                </a:r>
              </a:p>
            </c:rich>
          </c:tx>
          <c:layout>
            <c:manualLayout>
              <c:xMode val="edge"/>
              <c:yMode val="edge"/>
              <c:x val="0.39734178643142387"/>
              <c:y val="0.93790712502400619"/>
            </c:manualLayout>
          </c:layout>
          <c:overlay val="0"/>
        </c:title>
        <c:numFmt formatCode="[$-409]mmm\-yy;@" sourceLinked="1"/>
        <c:majorTickMark val="none"/>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153664"/>
        <c:crosses val="autoZero"/>
        <c:auto val="0"/>
        <c:lblAlgn val="ctr"/>
        <c:lblOffset val="100"/>
        <c:noMultiLvlLbl val="0"/>
      </c:catAx>
      <c:valAx>
        <c:axId val="343153664"/>
        <c:scaling>
          <c:orientation val="minMax"/>
        </c:scaling>
        <c:delete val="0"/>
        <c:axPos val="l"/>
        <c:majorGridlines/>
        <c:numFmt formatCode="General" sourceLinked="1"/>
        <c:majorTickMark val="none"/>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151744"/>
        <c:crosses val="autoZero"/>
        <c:crossBetween val="between"/>
      </c:valAx>
      <c:valAx>
        <c:axId val="343159552"/>
        <c:scaling>
          <c:orientation val="minMax"/>
          <c:min val="0"/>
        </c:scaling>
        <c:delete val="0"/>
        <c:axPos val="r"/>
        <c:numFmt formatCode="0.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161088"/>
        <c:crosses val="max"/>
        <c:crossBetween val="between"/>
      </c:valAx>
      <c:dateAx>
        <c:axId val="343161088"/>
        <c:scaling>
          <c:orientation val="minMax"/>
        </c:scaling>
        <c:delete val="1"/>
        <c:axPos val="b"/>
        <c:numFmt formatCode="[$-409]mmm\-yy;@" sourceLinked="1"/>
        <c:majorTickMark val="out"/>
        <c:minorTickMark val="none"/>
        <c:tickLblPos val="nextTo"/>
        <c:crossAx val="343159552"/>
        <c:crosses val="autoZero"/>
        <c:auto val="1"/>
        <c:lblOffset val="100"/>
        <c:baseTimeUnit val="months"/>
      </c:dateAx>
    </c:plotArea>
    <c:legend>
      <c:legendPos val="r"/>
      <c:layout>
        <c:manualLayout>
          <c:xMode val="edge"/>
          <c:yMode val="edge"/>
          <c:x val="0.87306073552011865"/>
          <c:y val="0.3337438376442674"/>
          <c:w val="0.12026586648015702"/>
          <c:h val="0.34126077404736754"/>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rgbClr val="439539"/>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3018372703412"/>
          <c:y val="5.1400554097404488E-2"/>
          <c:w val="0.27216491688538935"/>
          <c:h val="0.8326195683872849"/>
        </c:manualLayout>
      </c:layout>
      <c:barChart>
        <c:barDir val="col"/>
        <c:grouping val="clustered"/>
        <c:varyColors val="0"/>
        <c:ser>
          <c:idx val="0"/>
          <c:order val="0"/>
          <c:tx>
            <c:strRef>
              <c:f>'Data validation'!$M$11</c:f>
              <c:strCache>
                <c:ptCount val="1"/>
                <c:pt idx="0">
                  <c:v>% of final count</c:v>
                </c:pt>
              </c:strCache>
            </c:strRef>
          </c:tx>
          <c:spPr>
            <a:solidFill>
              <a:schemeClr val="bg1">
                <a:lumMod val="95000"/>
              </a:schemeClr>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validation'!$M$12</c:f>
              <c:numCache>
                <c:formatCode>0.0%</c:formatCode>
                <c:ptCount val="1"/>
                <c:pt idx="0">
                  <c:v>0.997</c:v>
                </c:pt>
              </c:numCache>
            </c:numRef>
          </c:val>
          <c:extLst>
            <c:ext xmlns:c16="http://schemas.microsoft.com/office/drawing/2014/chart" uri="{C3380CC4-5D6E-409C-BE32-E72D297353CC}">
              <c16:uniqueId val="{00000000-8D9C-4B4E-B161-A1BD3CC7EF04}"/>
            </c:ext>
          </c:extLst>
        </c:ser>
        <c:dLbls>
          <c:showLegendKey val="0"/>
          <c:showVal val="0"/>
          <c:showCatName val="0"/>
          <c:showSerName val="0"/>
          <c:showPercent val="0"/>
          <c:showBubbleSize val="0"/>
        </c:dLbls>
        <c:gapWidth val="150"/>
        <c:axId val="343563648"/>
        <c:axId val="343569536"/>
      </c:barChart>
      <c:barChart>
        <c:barDir val="col"/>
        <c:grouping val="clustered"/>
        <c:varyColors val="0"/>
        <c:ser>
          <c:idx val="1"/>
          <c:order val="1"/>
          <c:tx>
            <c:strRef>
              <c:f>'Data validation'!$N$11</c:f>
              <c:strCache>
                <c:ptCount val="1"/>
                <c:pt idx="0">
                  <c:v>Baseline (100%)</c:v>
                </c:pt>
              </c:strCache>
            </c:strRef>
          </c:tx>
          <c:spPr>
            <a:noFill/>
            <a:ln w="22225">
              <a:solidFill>
                <a:srgbClr val="439539"/>
              </a:solidFill>
            </a:ln>
          </c:spPr>
          <c:invertIfNegative val="0"/>
          <c:val>
            <c:numRef>
              <c:f>'Data validation'!$N$12</c:f>
              <c:numCache>
                <c:formatCode>0%</c:formatCode>
                <c:ptCount val="1"/>
                <c:pt idx="0">
                  <c:v>#N/A</c:v>
                </c:pt>
              </c:numCache>
            </c:numRef>
          </c:val>
          <c:extLst>
            <c:ext xmlns:c16="http://schemas.microsoft.com/office/drawing/2014/chart" uri="{C3380CC4-5D6E-409C-BE32-E72D297353CC}">
              <c16:uniqueId val="{00000001-8D9C-4B4E-B161-A1BD3CC7EF04}"/>
            </c:ext>
          </c:extLst>
        </c:ser>
        <c:dLbls>
          <c:showLegendKey val="0"/>
          <c:showVal val="0"/>
          <c:showCatName val="0"/>
          <c:showSerName val="0"/>
          <c:showPercent val="0"/>
          <c:showBubbleSize val="0"/>
        </c:dLbls>
        <c:gapWidth val="150"/>
        <c:axId val="343585152"/>
        <c:axId val="343571072"/>
      </c:barChart>
      <c:catAx>
        <c:axId val="343563648"/>
        <c:scaling>
          <c:orientation val="minMax"/>
        </c:scaling>
        <c:delete val="1"/>
        <c:axPos val="b"/>
        <c:majorTickMark val="out"/>
        <c:minorTickMark val="none"/>
        <c:tickLblPos val="nextTo"/>
        <c:crossAx val="343569536"/>
        <c:crosses val="autoZero"/>
        <c:auto val="1"/>
        <c:lblAlgn val="ctr"/>
        <c:lblOffset val="100"/>
        <c:noMultiLvlLbl val="0"/>
      </c:catAx>
      <c:valAx>
        <c:axId val="343569536"/>
        <c:scaling>
          <c:orientation val="minMax"/>
          <c:min val="0.8"/>
        </c:scaling>
        <c:delete val="0"/>
        <c:axPos val="l"/>
        <c:majorGridlines>
          <c:spPr>
            <a:ln>
              <a:noFill/>
            </a:ln>
          </c:spPr>
        </c:majorGridlines>
        <c:numFmt formatCode="0.0%" sourceLinked="1"/>
        <c:majorTickMark val="in"/>
        <c:minorTickMark val="none"/>
        <c:tickLblPos val="nextTo"/>
        <c:crossAx val="343563648"/>
        <c:crosses val="autoZero"/>
        <c:crossBetween val="between"/>
      </c:valAx>
      <c:valAx>
        <c:axId val="343571072"/>
        <c:scaling>
          <c:orientation val="minMax"/>
        </c:scaling>
        <c:delete val="1"/>
        <c:axPos val="r"/>
        <c:numFmt formatCode="0%" sourceLinked="1"/>
        <c:majorTickMark val="out"/>
        <c:minorTickMark val="none"/>
        <c:tickLblPos val="nextTo"/>
        <c:crossAx val="343585152"/>
        <c:crosses val="max"/>
        <c:crossBetween val="between"/>
      </c:valAx>
      <c:catAx>
        <c:axId val="343585152"/>
        <c:scaling>
          <c:orientation val="minMax"/>
        </c:scaling>
        <c:delete val="1"/>
        <c:axPos val="b"/>
        <c:majorTickMark val="out"/>
        <c:minorTickMark val="none"/>
        <c:tickLblPos val="nextTo"/>
        <c:crossAx val="343571072"/>
        <c:crosses val="autoZero"/>
        <c:auto val="1"/>
        <c:lblAlgn val="ctr"/>
        <c:lblOffset val="100"/>
        <c:noMultiLvlLbl val="0"/>
      </c:catAx>
    </c:plotArea>
    <c:legend>
      <c:legendPos val="r"/>
      <c:layout>
        <c:manualLayout>
          <c:xMode val="edge"/>
          <c:yMode val="edge"/>
          <c:x val="0.4123592594694232"/>
          <c:y val="0.30717790710943743"/>
          <c:w val="0.22302712160979876"/>
          <c:h val="0.3686282162630799"/>
        </c:manualLayout>
      </c:layout>
      <c:overlay val="0"/>
      <c:spPr>
        <a:solidFill>
          <a:schemeClr val="bg1"/>
        </a:solidFill>
      </c:sp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image" Target="../media/image3.emf"/><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image" Target="../media/image2.png"/><Relationship Id="rId6" Type="http://schemas.openxmlformats.org/officeDocument/2006/relationships/chart" Target="../charts/chart3.xml"/><Relationship Id="rId5" Type="http://schemas.openxmlformats.org/officeDocument/2006/relationships/image" Target="../media/image5.emf"/><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114300</xdr:rowOff>
    </xdr:from>
    <xdr:to>
      <xdr:col>5</xdr:col>
      <xdr:colOff>19050</xdr:colOff>
      <xdr:row>38</xdr:row>
      <xdr:rowOff>19050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85725</xdr:colOff>
          <xdr:row>6</xdr:row>
          <xdr:rowOff>19050</xdr:rowOff>
        </xdr:from>
        <xdr:to>
          <xdr:col>23</xdr:col>
          <xdr:colOff>104775</xdr:colOff>
          <xdr:row>8</xdr:row>
          <xdr:rowOff>19050</xdr:rowOff>
        </xdr:to>
        <xdr:sp macro="" textlink="">
          <xdr:nvSpPr>
            <xdr:cNvPr id="3203" name="CommandButton1" hidden="1">
              <a:extLst>
                <a:ext uri="{63B3BB69-23CF-44E3-9099-C40C66FF867C}">
                  <a14:compatExt spid="_x0000_s3203"/>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5291</xdr:colOff>
      <xdr:row>1</xdr:row>
      <xdr:rowOff>234345</xdr:rowOff>
    </xdr:from>
    <xdr:to>
      <xdr:col>3</xdr:col>
      <xdr:colOff>130968</xdr:colOff>
      <xdr:row>5</xdr:row>
      <xdr:rowOff>33262</xdr:rowOff>
    </xdr:to>
    <xdr:pic>
      <xdr:nvPicPr>
        <xdr:cNvPr id="2" name="Picture 1" descr="SuperWEB2">
          <a:extLst>
            <a:ext uri="{FF2B5EF4-FFF2-40B4-BE49-F238E27FC236}">
              <a16:creationId xmlns:a16="http://schemas.microsoft.com/office/drawing/2014/main" id="{00000000-0008-0000-04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 y="329595"/>
          <a:ext cx="2006865" cy="644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10585</xdr:rowOff>
    </xdr:from>
    <xdr:to>
      <xdr:col>3</xdr:col>
      <xdr:colOff>11906</xdr:colOff>
      <xdr:row>12</xdr:row>
      <xdr:rowOff>35720</xdr:rowOff>
    </xdr:to>
    <mc:AlternateContent xmlns:mc="http://schemas.openxmlformats.org/markup-compatibility/2006" xmlns:a14="http://schemas.microsoft.com/office/drawing/2010/main">
      <mc:Choice Requires="a14">
        <xdr:graphicFrame macro="">
          <xdr:nvGraphicFramePr>
            <xdr:cNvPr id="8" name="Estimate type 1">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microsoft.com/office/drawing/2010/slicer">
              <sle:slicer xmlns:sle="http://schemas.microsoft.com/office/drawing/2010/slicer" name="Estimate type 1"/>
            </a:graphicData>
          </a:graphic>
        </xdr:graphicFrame>
      </mc:Choice>
      <mc:Fallback xmlns="">
        <xdr:sp macro="" textlink="">
          <xdr:nvSpPr>
            <xdr:cNvPr id="0" name=""/>
            <xdr:cNvSpPr>
              <a:spLocks noTextEdit="1"/>
            </xdr:cNvSpPr>
          </xdr:nvSpPr>
          <xdr:spPr>
            <a:xfrm>
              <a:off x="0" y="814917"/>
              <a:ext cx="2159000" cy="941919"/>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19</xdr:row>
      <xdr:rowOff>105455</xdr:rowOff>
    </xdr:from>
    <xdr:to>
      <xdr:col>3</xdr:col>
      <xdr:colOff>13606</xdr:colOff>
      <xdr:row>34</xdr:row>
      <xdr:rowOff>122464</xdr:rowOff>
    </xdr:to>
    <mc:AlternateContent xmlns:mc="http://schemas.openxmlformats.org/markup-compatibility/2006" xmlns:a14="http://schemas.microsoft.com/office/drawing/2010/main">
      <mc:Choice Requires="a14">
        <xdr:graphicFrame macro="">
          <xdr:nvGraphicFramePr>
            <xdr:cNvPr id="5" name="State 1">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microsoft.com/office/drawing/2010/slicer">
              <sle:slicer xmlns:sle="http://schemas.microsoft.com/office/drawing/2010/slicer" name="State 1"/>
            </a:graphicData>
          </a:graphic>
        </xdr:graphicFrame>
      </mc:Choice>
      <mc:Fallback xmlns="">
        <xdr:sp macro="" textlink="">
          <xdr:nvSpPr>
            <xdr:cNvPr id="0" name=""/>
            <xdr:cNvSpPr>
              <a:spLocks noTextEdit="1"/>
            </xdr:cNvSpPr>
          </xdr:nvSpPr>
          <xdr:spPr>
            <a:xfrm>
              <a:off x="0" y="3664101"/>
              <a:ext cx="1905377" cy="2900967"/>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xdr:from>
      <xdr:col>15</xdr:col>
      <xdr:colOff>10582</xdr:colOff>
      <xdr:row>28</xdr:row>
      <xdr:rowOff>10583</xdr:rowOff>
    </xdr:from>
    <xdr:to>
      <xdr:col>24</xdr:col>
      <xdr:colOff>0</xdr:colOff>
      <xdr:row>47</xdr:row>
      <xdr:rowOff>179918</xdr:rowOff>
    </xdr:to>
    <xdr:graphicFrame macro="">
      <xdr:nvGraphicFramePr>
        <xdr:cNvPr id="29" name="Chart 28">
          <a:extLst>
            <a:ext uri="{FF2B5EF4-FFF2-40B4-BE49-F238E27FC236}">
              <a16:creationId xmlns:a16="http://schemas.microsoft.com/office/drawing/2014/main"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12</xdr:row>
      <xdr:rowOff>21166</xdr:rowOff>
    </xdr:from>
    <xdr:to>
      <xdr:col>3</xdr:col>
      <xdr:colOff>10582</xdr:colOff>
      <xdr:row>19</xdr:row>
      <xdr:rowOff>127000</xdr:rowOff>
    </xdr:to>
    <mc:AlternateContent xmlns:mc="http://schemas.openxmlformats.org/markup-compatibility/2006" xmlns:a14="http://schemas.microsoft.com/office/drawing/2010/main">
      <mc:Choice Requires="a14">
        <xdr:graphicFrame macro="">
          <xdr:nvGraphicFramePr>
            <xdr:cNvPr id="25" name="Contract status">
              <a:extLst>
                <a:ext uri="{FF2B5EF4-FFF2-40B4-BE49-F238E27FC236}">
                  <a16:creationId xmlns:a16="http://schemas.microsoft.com/office/drawing/2014/main" id="{00000000-0008-0000-0400-000019000000}"/>
                </a:ext>
              </a:extLst>
            </xdr:cNvPr>
            <xdr:cNvGraphicFramePr/>
          </xdr:nvGraphicFramePr>
          <xdr:xfrm>
            <a:off x="0" y="0"/>
            <a:ext cx="0" cy="0"/>
          </xdr:xfrm>
          <a:graphic>
            <a:graphicData uri="http://schemas.microsoft.com/office/drawing/2010/slicer">
              <sle:slicer xmlns:sle="http://schemas.microsoft.com/office/drawing/2010/slicer" name="Contract status"/>
            </a:graphicData>
          </a:graphic>
        </xdr:graphicFrame>
      </mc:Choice>
      <mc:Fallback xmlns="">
        <xdr:sp macro="" textlink="">
          <xdr:nvSpPr>
            <xdr:cNvPr id="0" name=""/>
            <xdr:cNvSpPr>
              <a:spLocks noTextEdit="1"/>
            </xdr:cNvSpPr>
          </xdr:nvSpPr>
          <xdr:spPr>
            <a:xfrm>
              <a:off x="0" y="2203979"/>
              <a:ext cx="1902353" cy="1481667"/>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34</xdr:row>
      <xdr:rowOff>95250</xdr:rowOff>
    </xdr:from>
    <xdr:to>
      <xdr:col>3</xdr:col>
      <xdr:colOff>13606</xdr:colOff>
      <xdr:row>47</xdr:row>
      <xdr:rowOff>185207</xdr:rowOff>
    </xdr:to>
    <mc:AlternateContent xmlns:mc="http://schemas.openxmlformats.org/markup-compatibility/2006" xmlns:a14="http://schemas.microsoft.com/office/drawing/2010/main">
      <mc:Choice Requires="a14">
        <xdr:graphicFrame macro="">
          <xdr:nvGraphicFramePr>
            <xdr:cNvPr id="27" name="review_quarter">
              <a:extLst>
                <a:ext uri="{FF2B5EF4-FFF2-40B4-BE49-F238E27FC236}">
                  <a16:creationId xmlns:a16="http://schemas.microsoft.com/office/drawing/2014/main" id="{00000000-0008-0000-0400-00001B000000}"/>
                </a:ext>
              </a:extLst>
            </xdr:cNvPr>
            <xdr:cNvGraphicFramePr/>
          </xdr:nvGraphicFramePr>
          <xdr:xfrm>
            <a:off x="0" y="0"/>
            <a:ext cx="0" cy="0"/>
          </xdr:xfrm>
          <a:graphic>
            <a:graphicData uri="http://schemas.microsoft.com/office/drawing/2010/slicer">
              <sle:slicer xmlns:sle="http://schemas.microsoft.com/office/drawing/2010/slicer" name="review_quarter"/>
            </a:graphicData>
          </a:graphic>
        </xdr:graphicFrame>
      </mc:Choice>
      <mc:Fallback xmlns="">
        <xdr:sp macro="" textlink="">
          <xdr:nvSpPr>
            <xdr:cNvPr id="0" name=""/>
            <xdr:cNvSpPr>
              <a:spLocks noTextEdit="1"/>
            </xdr:cNvSpPr>
          </xdr:nvSpPr>
          <xdr:spPr>
            <a:xfrm>
              <a:off x="0" y="6537854"/>
              <a:ext cx="1905377" cy="2577041"/>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mc:AlternateContent xmlns:mc="http://schemas.openxmlformats.org/markup-compatibility/2006">
    <mc:Choice xmlns:a14="http://schemas.microsoft.com/office/drawing/2010/main" Requires="a14">
      <xdr:twoCellAnchor editAs="oneCell">
        <xdr:from>
          <xdr:col>32</xdr:col>
          <xdr:colOff>1</xdr:colOff>
          <xdr:row>16</xdr:row>
          <xdr:rowOff>0</xdr:rowOff>
        </xdr:from>
        <xdr:to>
          <xdr:col>33</xdr:col>
          <xdr:colOff>21169</xdr:colOff>
          <xdr:row>18</xdr:row>
          <xdr:rowOff>19047</xdr:rowOff>
        </xdr:to>
        <xdr:pic>
          <xdr:nvPicPr>
            <xdr:cNvPr id="28" name="Picture 27"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1C000000}"/>
                </a:ext>
              </a:extLst>
            </xdr:cNvPr>
            <xdr:cNvPicPr>
              <a:picLocks noChangeAspect="1" noChangeArrowheads="1"/>
              <a:extLst>
                <a:ext uri="{84589F7E-364E-4C9E-8A38-B11213B215E9}">
                  <a14:cameraTool cellRange="Arrow1" spid="_x0000_s52542"/>
                </a:ext>
              </a:extLst>
            </xdr:cNvPicPr>
          </xdr:nvPicPr>
          <xdr:blipFill>
            <a:blip xmlns:r="http://schemas.openxmlformats.org/officeDocument/2006/relationships" r:embed="rId3"/>
            <a:srcRect/>
            <a:stretch>
              <a:fillRect/>
            </a:stretch>
          </xdr:blipFill>
          <xdr:spPr bwMode="auto">
            <a:xfrm>
              <a:off x="18362084" y="2296583"/>
              <a:ext cx="423334" cy="4423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18</xdr:row>
          <xdr:rowOff>2811</xdr:rowOff>
        </xdr:from>
        <xdr:to>
          <xdr:col>33</xdr:col>
          <xdr:colOff>21168</xdr:colOff>
          <xdr:row>20</xdr:row>
          <xdr:rowOff>34907</xdr:rowOff>
        </xdr:to>
        <xdr:pic>
          <xdr:nvPicPr>
            <xdr:cNvPr id="30" name="Picture 29"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1E000000}"/>
                </a:ext>
              </a:extLst>
            </xdr:cNvPr>
            <xdr:cNvPicPr>
              <a:picLocks noChangeAspect="1" noChangeArrowheads="1"/>
              <a:extLst>
                <a:ext uri="{84589F7E-364E-4C9E-8A38-B11213B215E9}">
                  <a14:cameraTool cellRange="Arrow2" spid="_x0000_s52543"/>
                </a:ext>
              </a:extLst>
            </xdr:cNvPicPr>
          </xdr:nvPicPr>
          <xdr:blipFill>
            <a:blip xmlns:r="http://schemas.openxmlformats.org/officeDocument/2006/relationships" r:embed="rId3"/>
            <a:srcRect/>
            <a:stretch>
              <a:fillRect/>
            </a:stretch>
          </xdr:blipFill>
          <xdr:spPr bwMode="auto">
            <a:xfrm>
              <a:off x="18393833" y="2680394"/>
              <a:ext cx="423334" cy="4554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xdr:row>
          <xdr:rowOff>0</xdr:rowOff>
        </xdr:from>
        <xdr:to>
          <xdr:col>33</xdr:col>
          <xdr:colOff>21168</xdr:colOff>
          <xdr:row>22</xdr:row>
          <xdr:rowOff>21165</xdr:rowOff>
        </xdr:to>
        <xdr:pic>
          <xdr:nvPicPr>
            <xdr:cNvPr id="31" name="Picture 30"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1F000000}"/>
                </a:ext>
              </a:extLst>
            </xdr:cNvPr>
            <xdr:cNvPicPr>
              <a:picLocks noChangeAspect="1" noChangeArrowheads="1"/>
              <a:extLst>
                <a:ext uri="{84589F7E-364E-4C9E-8A38-B11213B215E9}">
                  <a14:cameraTool cellRange="Arrow3" spid="_x0000_s52544"/>
                </a:ext>
              </a:extLst>
            </xdr:cNvPicPr>
          </xdr:nvPicPr>
          <xdr:blipFill>
            <a:blip xmlns:r="http://schemas.openxmlformats.org/officeDocument/2006/relationships" r:embed="rId3"/>
            <a:srcRect/>
            <a:stretch>
              <a:fillRect/>
            </a:stretch>
          </xdr:blipFill>
          <xdr:spPr bwMode="auto">
            <a:xfrm>
              <a:off x="18362083" y="3143250"/>
              <a:ext cx="423334" cy="44449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21</xdr:row>
          <xdr:rowOff>211665</xdr:rowOff>
        </xdr:from>
        <xdr:to>
          <xdr:col>33</xdr:col>
          <xdr:colOff>21167</xdr:colOff>
          <xdr:row>24</xdr:row>
          <xdr:rowOff>5969</xdr:rowOff>
        </xdr:to>
        <xdr:pic>
          <xdr:nvPicPr>
            <xdr:cNvPr id="32" name="Picture 31"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0000000}"/>
                </a:ext>
              </a:extLst>
            </xdr:cNvPr>
            <xdr:cNvPicPr>
              <a:picLocks noChangeAspect="1" noChangeArrowheads="1"/>
              <a:extLst>
                <a:ext uri="{84589F7E-364E-4C9E-8A38-B11213B215E9}">
                  <a14:cameraTool cellRange="Arrow4" spid="_x0000_s52545"/>
                </a:ext>
              </a:extLst>
            </xdr:cNvPicPr>
          </xdr:nvPicPr>
          <xdr:blipFill>
            <a:blip xmlns:r="http://schemas.openxmlformats.org/officeDocument/2006/relationships" r:embed="rId3"/>
            <a:srcRect/>
            <a:stretch>
              <a:fillRect/>
            </a:stretch>
          </xdr:blipFill>
          <xdr:spPr bwMode="auto">
            <a:xfrm>
              <a:off x="18362083" y="3566582"/>
              <a:ext cx="423333" cy="4293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359822</xdr:colOff>
          <xdr:row>17</xdr:row>
          <xdr:rowOff>0</xdr:rowOff>
        </xdr:from>
        <xdr:to>
          <xdr:col>10</xdr:col>
          <xdr:colOff>230591</xdr:colOff>
          <xdr:row>20</xdr:row>
          <xdr:rowOff>21166</xdr:rowOff>
        </xdr:to>
        <xdr:pic>
          <xdr:nvPicPr>
            <xdr:cNvPr id="40" name="Picture 39"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8000000}"/>
                </a:ext>
              </a:extLst>
            </xdr:cNvPr>
            <xdr:cNvPicPr>
              <a:picLocks noChangeAspect="1" noChangeArrowheads="1"/>
              <a:extLst>
                <a:ext uri="{84589F7E-364E-4C9E-8A38-B11213B215E9}">
                  <a14:cameraTool cellRange="Picture2" spid="_x0000_s52546"/>
                </a:ext>
              </a:extLst>
            </xdr:cNvPicPr>
          </xdr:nvPicPr>
          <xdr:blipFill>
            <a:blip xmlns:r="http://schemas.openxmlformats.org/officeDocument/2006/relationships" r:embed="rId4"/>
            <a:srcRect/>
            <a:stretch>
              <a:fillRect/>
            </a:stretch>
          </xdr:blipFill>
          <xdr:spPr bwMode="auto">
            <a:xfrm>
              <a:off x="4095739" y="2508250"/>
              <a:ext cx="615570" cy="656167"/>
            </a:xfrm>
            <a:prstGeom prst="rect">
              <a:avLst/>
            </a:prstGeom>
            <a:noFill/>
            <a:ln w="15875">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359822</xdr:colOff>
          <xdr:row>20</xdr:row>
          <xdr:rowOff>0</xdr:rowOff>
        </xdr:from>
        <xdr:to>
          <xdr:col>10</xdr:col>
          <xdr:colOff>230591</xdr:colOff>
          <xdr:row>23</xdr:row>
          <xdr:rowOff>21168</xdr:rowOff>
        </xdr:to>
        <xdr:pic>
          <xdr:nvPicPr>
            <xdr:cNvPr id="41" name="Picture 40"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9000000}"/>
                </a:ext>
              </a:extLst>
            </xdr:cNvPr>
            <xdr:cNvPicPr>
              <a:picLocks noChangeAspect="1" noChangeArrowheads="1"/>
              <a:extLst>
                <a:ext uri="{84589F7E-364E-4C9E-8A38-B11213B215E9}">
                  <a14:cameraTool cellRange="Picture3" spid="_x0000_s52547"/>
                </a:ext>
              </a:extLst>
            </xdr:cNvPicPr>
          </xdr:nvPicPr>
          <xdr:blipFill>
            <a:blip xmlns:r="http://schemas.openxmlformats.org/officeDocument/2006/relationships" r:embed="rId4"/>
            <a:srcRect/>
            <a:stretch>
              <a:fillRect/>
            </a:stretch>
          </xdr:blipFill>
          <xdr:spPr bwMode="auto">
            <a:xfrm>
              <a:off x="4095739" y="3143250"/>
              <a:ext cx="615570" cy="656167"/>
            </a:xfrm>
            <a:prstGeom prst="rect">
              <a:avLst/>
            </a:prstGeom>
            <a:noFill/>
            <a:ln w="15875">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359822</xdr:colOff>
          <xdr:row>23</xdr:row>
          <xdr:rowOff>0</xdr:rowOff>
        </xdr:from>
        <xdr:to>
          <xdr:col>10</xdr:col>
          <xdr:colOff>230591</xdr:colOff>
          <xdr:row>26</xdr:row>
          <xdr:rowOff>21166</xdr:rowOff>
        </xdr:to>
        <xdr:pic>
          <xdr:nvPicPr>
            <xdr:cNvPr id="42" name="Picture 41"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A000000}"/>
                </a:ext>
              </a:extLst>
            </xdr:cNvPr>
            <xdr:cNvPicPr>
              <a:picLocks noChangeAspect="1" noChangeArrowheads="1"/>
              <a:extLst>
                <a:ext uri="{84589F7E-364E-4C9E-8A38-B11213B215E9}">
                  <a14:cameraTool cellRange="Picture4" spid="_x0000_s52548"/>
                </a:ext>
              </a:extLst>
            </xdr:cNvPicPr>
          </xdr:nvPicPr>
          <xdr:blipFill>
            <a:blip xmlns:r="http://schemas.openxmlformats.org/officeDocument/2006/relationships" r:embed="rId5"/>
            <a:srcRect/>
            <a:stretch>
              <a:fillRect/>
            </a:stretch>
          </xdr:blipFill>
          <xdr:spPr bwMode="auto">
            <a:xfrm>
              <a:off x="4095739" y="3778250"/>
              <a:ext cx="615570" cy="656167"/>
            </a:xfrm>
            <a:prstGeom prst="rect">
              <a:avLst/>
            </a:prstGeom>
            <a:noFill/>
            <a:ln w="15875">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356742</xdr:colOff>
          <xdr:row>14</xdr:row>
          <xdr:rowOff>5999</xdr:rowOff>
        </xdr:from>
        <xdr:to>
          <xdr:col>10</xdr:col>
          <xdr:colOff>228865</xdr:colOff>
          <xdr:row>17</xdr:row>
          <xdr:rowOff>11715</xdr:rowOff>
        </xdr:to>
        <xdr:pic>
          <xdr:nvPicPr>
            <xdr:cNvPr id="33" name="Picture 32"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1000000}"/>
                </a:ext>
              </a:extLst>
            </xdr:cNvPr>
            <xdr:cNvPicPr>
              <a:picLocks noChangeAspect="1" noChangeArrowheads="1"/>
              <a:extLst>
                <a:ext uri="{84589F7E-364E-4C9E-8A38-B11213B215E9}">
                  <a14:cameraTool cellRange="Picture1" spid="_x0000_s52549"/>
                </a:ext>
              </a:extLst>
            </xdr:cNvPicPr>
          </xdr:nvPicPr>
          <xdr:blipFill>
            <a:blip xmlns:r="http://schemas.openxmlformats.org/officeDocument/2006/relationships" r:embed="rId5"/>
            <a:srcRect/>
            <a:stretch>
              <a:fillRect/>
            </a:stretch>
          </xdr:blipFill>
          <xdr:spPr bwMode="auto">
            <a:xfrm>
              <a:off x="5426159" y="2048582"/>
              <a:ext cx="616924" cy="661881"/>
            </a:xfrm>
            <a:prstGeom prst="rect">
              <a:avLst/>
            </a:prstGeom>
            <a:noFill/>
            <a:ln w="15875">
              <a:noFill/>
            </a:ln>
            <a:extLst>
              <a:ext uri="{909E8E84-426E-40DD-AFC4-6F175D3DCCD1}">
                <a14:hiddenFill>
                  <a:solidFill>
                    <a:srgbClr val="FFFFFF"/>
                  </a:solidFill>
                </a14:hiddenFill>
              </a:ext>
            </a:extLst>
          </xdr:spPr>
        </xdr:pic>
        <xdr:clientData/>
      </xdr:twoCellAnchor>
    </mc:Choice>
    <mc:Fallback/>
  </mc:AlternateContent>
  <xdr:twoCellAnchor>
    <xdr:from>
      <xdr:col>4</xdr:col>
      <xdr:colOff>0</xdr:colOff>
      <xdr:row>28</xdr:row>
      <xdr:rowOff>0</xdr:rowOff>
    </xdr:from>
    <xdr:to>
      <xdr:col>14</xdr:col>
      <xdr:colOff>0</xdr:colOff>
      <xdr:row>47</xdr:row>
      <xdr:rowOff>174401</xdr:rowOff>
    </xdr:to>
    <xdr:graphicFrame macro="">
      <xdr:nvGraphicFramePr>
        <xdr:cNvPr id="19" name="Chart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6</xdr:row>
      <xdr:rowOff>95249</xdr:rowOff>
    </xdr:from>
    <xdr:to>
      <xdr:col>23</xdr:col>
      <xdr:colOff>619124</xdr:colOff>
      <xdr:row>27</xdr:row>
      <xdr:rowOff>11906</xdr:rowOff>
    </xdr:to>
    <xdr:graphicFrame macro="">
      <xdr:nvGraphicFramePr>
        <xdr:cNvPr id="20" name="Chart 19">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11906</xdr:colOff>
      <xdr:row>28</xdr:row>
      <xdr:rowOff>11906</xdr:rowOff>
    </xdr:from>
    <xdr:to>
      <xdr:col>34</xdr:col>
      <xdr:colOff>130968</xdr:colOff>
      <xdr:row>48</xdr:row>
      <xdr:rowOff>0</xdr:rowOff>
    </xdr:to>
    <xdr:graphicFrame macro="">
      <xdr:nvGraphicFramePr>
        <xdr:cNvPr id="22" name="Chart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126995</xdr:colOff>
      <xdr:row>0</xdr:row>
      <xdr:rowOff>26459</xdr:rowOff>
    </xdr:from>
    <xdr:to>
      <xdr:col>2</xdr:col>
      <xdr:colOff>18416</xdr:colOff>
      <xdr:row>4</xdr:row>
      <xdr:rowOff>58200</xdr:rowOff>
    </xdr:to>
    <xdr:pic>
      <xdr:nvPicPr>
        <xdr:cNvPr id="4" name="Picture 3" descr="SuperWEB2">
          <a:extLst>
            <a:ext uri="{FF2B5EF4-FFF2-40B4-BE49-F238E27FC236}">
              <a16:creationId xmlns:a16="http://schemas.microsoft.com/office/drawing/2014/main" id="{00000000-0008-0000-05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995" y="26459"/>
          <a:ext cx="1820339" cy="576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2643</xdr:rowOff>
    </xdr:from>
    <xdr:to>
      <xdr:col>3</xdr:col>
      <xdr:colOff>20108</xdr:colOff>
      <xdr:row>6</xdr:row>
      <xdr:rowOff>80434</xdr:rowOff>
    </xdr:to>
    <mc:AlternateContent xmlns:mc="http://schemas.openxmlformats.org/markup-compatibility/2006" xmlns:a14="http://schemas.microsoft.com/office/drawing/2010/main">
      <mc:Choice Requires="a14">
        <xdr:graphicFrame macro="">
          <xdr:nvGraphicFramePr>
            <xdr:cNvPr id="14" name="Estimate type 2">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microsoft.com/office/drawing/2010/slicer">
              <sle:slicer xmlns:sle="http://schemas.microsoft.com/office/drawing/2010/slicer" name="Estimate type 2"/>
            </a:graphicData>
          </a:graphic>
        </xdr:graphicFrame>
      </mc:Choice>
      <mc:Fallback xmlns="">
        <xdr:sp macro="" textlink="">
          <xdr:nvSpPr>
            <xdr:cNvPr id="0" name=""/>
            <xdr:cNvSpPr>
              <a:spLocks noTextEdit="1"/>
            </xdr:cNvSpPr>
          </xdr:nvSpPr>
          <xdr:spPr>
            <a:xfrm>
              <a:off x="0" y="669394"/>
              <a:ext cx="2141802" cy="951176"/>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14</xdr:row>
      <xdr:rowOff>160066</xdr:rowOff>
    </xdr:from>
    <xdr:to>
      <xdr:col>3</xdr:col>
      <xdr:colOff>20111</xdr:colOff>
      <xdr:row>29</xdr:row>
      <xdr:rowOff>182079</xdr:rowOff>
    </xdr:to>
    <mc:AlternateContent xmlns:mc="http://schemas.openxmlformats.org/markup-compatibility/2006" xmlns:a14="http://schemas.microsoft.com/office/drawing/2010/main">
      <mc:Choice Requires="a14">
        <xdr:graphicFrame macro="">
          <xdr:nvGraphicFramePr>
            <xdr:cNvPr id="18" name="State 2">
              <a:extLst>
                <a:ext uri="{FF2B5EF4-FFF2-40B4-BE49-F238E27FC236}">
                  <a16:creationId xmlns:a16="http://schemas.microsoft.com/office/drawing/2014/main" id="{00000000-0008-0000-0500-000012000000}"/>
                </a:ext>
              </a:extLst>
            </xdr:cNvPr>
            <xdr:cNvGraphicFramePr/>
          </xdr:nvGraphicFramePr>
          <xdr:xfrm>
            <a:off x="0" y="0"/>
            <a:ext cx="0" cy="0"/>
          </xdr:xfrm>
          <a:graphic>
            <a:graphicData uri="http://schemas.microsoft.com/office/drawing/2010/slicer">
              <sle:slicer xmlns:sle="http://schemas.microsoft.com/office/drawing/2010/slicer" name="State 2"/>
            </a:graphicData>
          </a:graphic>
        </xdr:graphicFrame>
      </mc:Choice>
      <mc:Fallback xmlns="">
        <xdr:sp macro="" textlink="">
          <xdr:nvSpPr>
            <xdr:cNvPr id="0" name=""/>
            <xdr:cNvSpPr>
              <a:spLocks noTextEdit="1"/>
            </xdr:cNvSpPr>
          </xdr:nvSpPr>
          <xdr:spPr>
            <a:xfrm>
              <a:off x="0" y="2996399"/>
              <a:ext cx="2168528" cy="2879513"/>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7</xdr:row>
      <xdr:rowOff>60852</xdr:rowOff>
    </xdr:from>
    <xdr:to>
      <xdr:col>3</xdr:col>
      <xdr:colOff>20108</xdr:colOff>
      <xdr:row>14</xdr:row>
      <xdr:rowOff>158749</xdr:rowOff>
    </xdr:to>
    <mc:AlternateContent xmlns:mc="http://schemas.openxmlformats.org/markup-compatibility/2006" xmlns:a14="http://schemas.microsoft.com/office/drawing/2010/main">
      <mc:Choice Requires="a14">
        <xdr:graphicFrame macro="">
          <xdr:nvGraphicFramePr>
            <xdr:cNvPr id="19" name="Contract status 1">
              <a:extLst>
                <a:ext uri="{FF2B5EF4-FFF2-40B4-BE49-F238E27FC236}">
                  <a16:creationId xmlns:a16="http://schemas.microsoft.com/office/drawing/2014/main" id="{00000000-0008-0000-0500-000013000000}"/>
                </a:ext>
              </a:extLst>
            </xdr:cNvPr>
            <xdr:cNvGraphicFramePr/>
          </xdr:nvGraphicFramePr>
          <xdr:xfrm>
            <a:off x="0" y="0"/>
            <a:ext cx="0" cy="0"/>
          </xdr:xfrm>
          <a:graphic>
            <a:graphicData uri="http://schemas.microsoft.com/office/drawing/2010/slicer">
              <sle:slicer xmlns:sle="http://schemas.microsoft.com/office/drawing/2010/slicer" name="Contract status 1"/>
            </a:graphicData>
          </a:graphic>
        </xdr:graphicFrame>
      </mc:Choice>
      <mc:Fallback xmlns="">
        <xdr:sp macro="" textlink="">
          <xdr:nvSpPr>
            <xdr:cNvPr id="0" name=""/>
            <xdr:cNvSpPr>
              <a:spLocks noTextEdit="1"/>
            </xdr:cNvSpPr>
          </xdr:nvSpPr>
          <xdr:spPr>
            <a:xfrm>
              <a:off x="0" y="1563685"/>
              <a:ext cx="2168525" cy="1431398"/>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29</xdr:row>
      <xdr:rowOff>105834</xdr:rowOff>
    </xdr:from>
    <xdr:to>
      <xdr:col>3</xdr:col>
      <xdr:colOff>20108</xdr:colOff>
      <xdr:row>44</xdr:row>
      <xdr:rowOff>105833</xdr:rowOff>
    </xdr:to>
    <mc:AlternateContent xmlns:mc="http://schemas.openxmlformats.org/markup-compatibility/2006" xmlns:a14="http://schemas.microsoft.com/office/drawing/2010/main">
      <mc:Choice Requires="a14">
        <xdr:graphicFrame macro="">
          <xdr:nvGraphicFramePr>
            <xdr:cNvPr id="20" name="review_quarter 1">
              <a:extLst>
                <a:ext uri="{FF2B5EF4-FFF2-40B4-BE49-F238E27FC236}">
                  <a16:creationId xmlns:a16="http://schemas.microsoft.com/office/drawing/2014/main" id="{00000000-0008-0000-0500-000014000000}"/>
                </a:ext>
              </a:extLst>
            </xdr:cNvPr>
            <xdr:cNvGraphicFramePr/>
          </xdr:nvGraphicFramePr>
          <xdr:xfrm>
            <a:off x="0" y="0"/>
            <a:ext cx="0" cy="0"/>
          </xdr:xfrm>
          <a:graphic>
            <a:graphicData uri="http://schemas.microsoft.com/office/drawing/2010/slicer">
              <sle:slicer xmlns:sle="http://schemas.microsoft.com/office/drawing/2010/slicer" name="review_quarter 1"/>
            </a:graphicData>
          </a:graphic>
        </xdr:graphicFrame>
      </mc:Choice>
      <mc:Fallback xmlns="">
        <xdr:sp macro="" textlink="">
          <xdr:nvSpPr>
            <xdr:cNvPr id="0" name=""/>
            <xdr:cNvSpPr>
              <a:spLocks noTextEdit="1"/>
            </xdr:cNvSpPr>
          </xdr:nvSpPr>
          <xdr:spPr>
            <a:xfrm>
              <a:off x="0" y="5799667"/>
              <a:ext cx="2168525" cy="2709332"/>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4</xdr:col>
      <xdr:colOff>0</xdr:colOff>
      <xdr:row>12</xdr:row>
      <xdr:rowOff>0</xdr:rowOff>
    </xdr:from>
    <xdr:to>
      <xdr:col>13</xdr:col>
      <xdr:colOff>1893094</xdr:colOff>
      <xdr:row>44</xdr:row>
      <xdr:rowOff>47624</xdr:rowOff>
    </xdr:to>
    <xdr:graphicFrame macro="">
      <xdr:nvGraphicFramePr>
        <xdr:cNvPr id="6" name="Chart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66675</xdr:rowOff>
    </xdr:from>
    <xdr:to>
      <xdr:col>8</xdr:col>
      <xdr:colOff>10583</xdr:colOff>
      <xdr:row>11</xdr:row>
      <xdr:rowOff>129170</xdr:rowOff>
    </xdr:to>
    <xdr:pic>
      <xdr:nvPicPr>
        <xdr:cNvPr id="8" name="Picture 7" descr="Description: Description: Description: NCVER_CMYK_bar_low_res">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19350"/>
          <a:ext cx="3382433" cy="62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166688</xdr:colOff>
      <xdr:row>0</xdr:row>
      <xdr:rowOff>214313</xdr:rowOff>
    </xdr:from>
    <xdr:to>
      <xdr:col>17</xdr:col>
      <xdr:colOff>476250</xdr:colOff>
      <xdr:row>0</xdr:row>
      <xdr:rowOff>892969</xdr:rowOff>
    </xdr:to>
    <xdr:sp macro="" textlink="">
      <xdr:nvSpPr>
        <xdr:cNvPr id="2" name="Up Arrow 1">
          <a:extLst>
            <a:ext uri="{FF2B5EF4-FFF2-40B4-BE49-F238E27FC236}">
              <a16:creationId xmlns:a16="http://schemas.microsoft.com/office/drawing/2014/main" id="{00000000-0008-0000-0700-000002000000}"/>
            </a:ext>
          </a:extLst>
        </xdr:cNvPr>
        <xdr:cNvSpPr/>
      </xdr:nvSpPr>
      <xdr:spPr>
        <a:xfrm>
          <a:off x="9739313" y="214313"/>
          <a:ext cx="309562" cy="678656"/>
        </a:xfrm>
        <a:prstGeom prst="upArrow">
          <a:avLst/>
        </a:prstGeom>
        <a:solidFill>
          <a:srgbClr val="40698D"/>
        </a:solidFill>
        <a:ln>
          <a:solidFill>
            <a:srgbClr val="00376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18</xdr:col>
      <xdr:colOff>154781</xdr:colOff>
      <xdr:row>0</xdr:row>
      <xdr:rowOff>238125</xdr:rowOff>
    </xdr:from>
    <xdr:to>
      <xdr:col>18</xdr:col>
      <xdr:colOff>488156</xdr:colOff>
      <xdr:row>0</xdr:row>
      <xdr:rowOff>928688</xdr:rowOff>
    </xdr:to>
    <xdr:sp macro="" textlink="">
      <xdr:nvSpPr>
        <xdr:cNvPr id="3" name="Down Arrow 2">
          <a:extLst>
            <a:ext uri="{FF2B5EF4-FFF2-40B4-BE49-F238E27FC236}">
              <a16:creationId xmlns:a16="http://schemas.microsoft.com/office/drawing/2014/main" id="{00000000-0008-0000-0700-000003000000}"/>
            </a:ext>
          </a:extLst>
        </xdr:cNvPr>
        <xdr:cNvSpPr/>
      </xdr:nvSpPr>
      <xdr:spPr>
        <a:xfrm>
          <a:off x="10370344" y="238125"/>
          <a:ext cx="333375" cy="690563"/>
        </a:xfrm>
        <a:prstGeom prst="downArrow">
          <a:avLst/>
        </a:prstGeom>
        <a:solidFill>
          <a:srgbClr val="40698D"/>
        </a:solidFill>
        <a:ln>
          <a:solidFill>
            <a:srgbClr val="00376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0</xdr:colOff>
      <xdr:row>19</xdr:row>
      <xdr:rowOff>0</xdr:rowOff>
    </xdr:from>
    <xdr:to>
      <xdr:col>16</xdr:col>
      <xdr:colOff>137581</xdr:colOff>
      <xdr:row>33</xdr:row>
      <xdr:rowOff>145521</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59531</xdr:colOff>
      <xdr:row>31</xdr:row>
      <xdr:rowOff>95250</xdr:rowOff>
    </xdr:from>
    <xdr:to>
      <xdr:col>13</xdr:col>
      <xdr:colOff>768616</xdr:colOff>
      <xdr:row>35</xdr:row>
      <xdr:rowOff>10582</xdr:rowOff>
    </xdr:to>
    <xdr:sp macro="" textlink="">
      <xdr:nvSpPr>
        <xdr:cNvPr id="7" name="Oval 6">
          <a:extLst>
            <a:ext uri="{FF2B5EF4-FFF2-40B4-BE49-F238E27FC236}">
              <a16:creationId xmlns:a16="http://schemas.microsoft.com/office/drawing/2014/main" id="{00000000-0008-0000-0700-000007000000}"/>
            </a:ext>
          </a:extLst>
        </xdr:cNvPr>
        <xdr:cNvSpPr/>
      </xdr:nvSpPr>
      <xdr:spPr>
        <a:xfrm>
          <a:off x="7191375" y="7060406"/>
          <a:ext cx="709085" cy="677332"/>
        </a:xfrm>
        <a:prstGeom prst="ellipse">
          <a:avLst/>
        </a:prstGeom>
        <a:solidFill>
          <a:schemeClr val="bg1">
            <a:lumMod val="95000"/>
          </a:schemeClr>
        </a:solidFill>
        <a:ln>
          <a:solidFill>
            <a:srgbClr val="43953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AU" sz="1100">
            <a:solidFill>
              <a:schemeClr val="bg1">
                <a:lumMod val="75000"/>
              </a:schemeClr>
            </a:solidFill>
          </a:endParaRPr>
        </a:p>
      </xdr:txBody>
    </xdr:sp>
    <xdr:clientData/>
  </xdr:twoCellAnchor>
  <xdr:twoCellAnchor>
    <xdr:from>
      <xdr:col>13</xdr:col>
      <xdr:colOff>190500</xdr:colOff>
      <xdr:row>30</xdr:row>
      <xdr:rowOff>166687</xdr:rowOff>
    </xdr:from>
    <xdr:to>
      <xdr:col>13</xdr:col>
      <xdr:colOff>603246</xdr:colOff>
      <xdr:row>32</xdr:row>
      <xdr:rowOff>156104</xdr:rowOff>
    </xdr:to>
    <xdr:sp macro="" textlink="">
      <xdr:nvSpPr>
        <xdr:cNvPr id="10" name="Rectangle 9">
          <a:extLst>
            <a:ext uri="{FF2B5EF4-FFF2-40B4-BE49-F238E27FC236}">
              <a16:creationId xmlns:a16="http://schemas.microsoft.com/office/drawing/2014/main" id="{00000000-0008-0000-0700-00000A000000}"/>
            </a:ext>
          </a:extLst>
        </xdr:cNvPr>
        <xdr:cNvSpPr/>
      </xdr:nvSpPr>
      <xdr:spPr>
        <a:xfrm>
          <a:off x="7322344" y="6941343"/>
          <a:ext cx="412746" cy="370417"/>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0</xdr:colOff>
      <xdr:row>36</xdr:row>
      <xdr:rowOff>0</xdr:rowOff>
    </xdr:from>
    <xdr:to>
      <xdr:col>14</xdr:col>
      <xdr:colOff>273844</xdr:colOff>
      <xdr:row>39</xdr:row>
      <xdr:rowOff>74084</xdr:rowOff>
    </xdr:to>
    <xdr:sp macro="" textlink="">
      <xdr:nvSpPr>
        <xdr:cNvPr id="11" name="Rounded Rectangle 10">
          <a:extLst>
            <a:ext uri="{FF2B5EF4-FFF2-40B4-BE49-F238E27FC236}">
              <a16:creationId xmlns:a16="http://schemas.microsoft.com/office/drawing/2014/main" id="{00000000-0008-0000-0700-00000B000000}"/>
            </a:ext>
          </a:extLst>
        </xdr:cNvPr>
        <xdr:cNvSpPr/>
      </xdr:nvSpPr>
      <xdr:spPr>
        <a:xfrm>
          <a:off x="7131844" y="7917656"/>
          <a:ext cx="1524000" cy="645584"/>
        </a:xfrm>
        <a:prstGeom prst="roundRect">
          <a:avLst/>
        </a:prstGeom>
        <a:solidFill>
          <a:srgbClr val="DDC9E2"/>
        </a:solidFill>
        <a:ln>
          <a:solidFill>
            <a:srgbClr val="78278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900" b="0" u="sng">
              <a:solidFill>
                <a:srgbClr val="78278B"/>
              </a:solidFill>
            </a:rPr>
            <a:t>NOTE</a:t>
          </a:r>
          <a:r>
            <a:rPr lang="en-AU" sz="900">
              <a:solidFill>
                <a:srgbClr val="78278B"/>
              </a:solidFill>
            </a:rPr>
            <a:t>: This</a:t>
          </a:r>
          <a:r>
            <a:rPr lang="en-AU" sz="900" baseline="0">
              <a:solidFill>
                <a:srgbClr val="78278B"/>
              </a:solidFill>
            </a:rPr>
            <a:t> metric only applies to the earliest review quarter selected.</a:t>
          </a:r>
        </a:p>
      </xdr:txBody>
    </xdr:sp>
    <xdr:clientData/>
  </xdr:twoCellAnchor>
  <xdr:twoCellAnchor editAs="oneCell">
    <xdr:from>
      <xdr:col>14</xdr:col>
      <xdr:colOff>154782</xdr:colOff>
      <xdr:row>0</xdr:row>
      <xdr:rowOff>35718</xdr:rowOff>
    </xdr:from>
    <xdr:to>
      <xdr:col>14</xdr:col>
      <xdr:colOff>1169396</xdr:colOff>
      <xdr:row>0</xdr:row>
      <xdr:rowOff>1047750</xdr:rowOff>
    </xdr:to>
    <xdr:pic>
      <xdr:nvPicPr>
        <xdr:cNvPr id="10250" name="Picture 10" descr="U:\A&amp;T\Estimates Review\Working docs\ThumbsDown-01 (2).png">
          <a:extLst>
            <a:ext uri="{FF2B5EF4-FFF2-40B4-BE49-F238E27FC236}">
              <a16:creationId xmlns:a16="http://schemas.microsoft.com/office/drawing/2014/main" id="{00000000-0008-0000-0700-00000A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36782" y="35718"/>
          <a:ext cx="1014614" cy="1012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119062</xdr:colOff>
      <xdr:row>0</xdr:row>
      <xdr:rowOff>0</xdr:rowOff>
    </xdr:from>
    <xdr:to>
      <xdr:col>13</xdr:col>
      <xdr:colOff>1179708</xdr:colOff>
      <xdr:row>0</xdr:row>
      <xdr:rowOff>1021556</xdr:rowOff>
    </xdr:to>
    <xdr:pic>
      <xdr:nvPicPr>
        <xdr:cNvPr id="10251" name="Picture 11" descr="U:\A&amp;T\Estimates Review\Working docs\ThumbsUp-01 (2).png">
          <a:extLst>
            <a:ext uri="{FF2B5EF4-FFF2-40B4-BE49-F238E27FC236}">
              <a16:creationId xmlns:a16="http://schemas.microsoft.com/office/drawing/2014/main" id="{00000000-0008-0000-0700-00000B2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50906" y="0"/>
          <a:ext cx="1060646" cy="1021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xdr:col>
      <xdr:colOff>228600</xdr:colOff>
      <xdr:row>6</xdr:row>
      <xdr:rowOff>114300</xdr:rowOff>
    </xdr:to>
    <xdr:pic>
      <xdr:nvPicPr>
        <xdr:cNvPr id="4" name="Picture 1" descr="P:\PublicationComponents\logos\Creativecommons\CC BY logo.png">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952500"/>
          <a:ext cx="8382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ian Harvey" refreshedDate="44943.449782175929" createdVersion="4" refreshedVersion="8" minRefreshableVersion="3" recordCount="288" xr:uid="{00000000-000A-0000-FFFF-FFFF0E000000}">
  <cacheSource type="worksheet">
    <worksheetSource name="Table1"/>
  </cacheSource>
  <cacheFields count="23">
    <cacheField name=" " numFmtId="3">
      <sharedItems containsSemiMixedTypes="0" containsString="0" containsNumber="1" containsInteger="1" minValue="1" maxValue="288"/>
    </cacheField>
    <cacheField name="State" numFmtId="49">
      <sharedItems count="9">
        <s v="Australia"/>
        <s v="Australian Capital Territory"/>
        <s v="New South Wales"/>
        <s v="Northern Territory"/>
        <s v="Queensland"/>
        <s v="South Australia"/>
        <s v="Tasmania"/>
        <s v="Victoria"/>
        <s v="Western Australia"/>
      </sharedItems>
    </cacheField>
    <cacheField name="contract" numFmtId="49">
      <sharedItems count="8">
        <s v="Cancellations/withdrawals"/>
        <s v="Commencements"/>
        <s v="Completions"/>
        <s v="In-training"/>
        <s v="01" u="1"/>
        <s v="IT" u="1"/>
        <s v="04" u="1"/>
        <s v="CW" u="1"/>
      </sharedItems>
    </cacheField>
    <cacheField name="collection_quarter" numFmtId="0">
      <sharedItems containsSemiMixedTypes="0" containsString="0" containsNumber="1" minValue="2020.3" maxValue="2022.2"/>
    </cacheField>
    <cacheField name="collection_number" numFmtId="0">
      <sharedItems containsSemiMixedTypes="0" containsString="0" containsNumber="1" containsInteger="1" minValue="81" maxValue="112" count="32">
        <n v="104"/>
        <n v="105"/>
        <n v="106"/>
        <n v="107"/>
        <n v="108"/>
        <n v="109"/>
        <n v="110"/>
        <n v="111"/>
        <n v="112"/>
        <n v="96" u="1"/>
        <n v="100" u="1"/>
        <n v="83" u="1"/>
        <n v="87" u="1"/>
        <n v="91" u="1"/>
        <n v="95" u="1"/>
        <n v="99" u="1"/>
        <n v="103" u="1"/>
        <n v="82" u="1"/>
        <n v="86" u="1"/>
        <n v="90" u="1"/>
        <n v="94" u="1"/>
        <n v="98" u="1"/>
        <n v="102" u="1"/>
        <n v="81" u="1"/>
        <n v="85" u="1"/>
        <n v="89" u="1"/>
        <n v="93" u="1"/>
        <n v="97" u="1"/>
        <n v="101" u="1"/>
        <n v="84" u="1"/>
        <n v="88" u="1"/>
        <n v="92" u="1"/>
      </sharedItems>
    </cacheField>
    <cacheField name="review_quarter" numFmtId="169">
      <sharedItems containsSemiMixedTypes="0" containsNonDate="0" containsDate="1" containsString="0" minDate="2014-06-01T00:00:00" maxDate="2021-12-02T00:00:00" count="31">
        <d v="2020-03-01T00:00:00"/>
        <d v="2020-06-01T00:00:00"/>
        <d v="2020-09-01T00:00:00"/>
        <d v="2020-12-01T00:00:00"/>
        <d v="2021-03-01T00:00:00"/>
        <d v="2021-06-01T00:00:00"/>
        <d v="2021-09-01T00:00:00"/>
        <d v="2021-12-01T00:00:00"/>
        <d v="2014-06-01T00:00:00" u="1"/>
        <d v="2015-06-01T00:00:00" u="1"/>
        <d v="2016-06-01T00:00:00" u="1"/>
        <d v="2017-06-01T00:00:00" u="1"/>
        <d v="2018-06-01T00:00:00" u="1"/>
        <d v="2019-06-01T00:00:00" u="1"/>
        <d v="2015-03-01T00:00:00" u="1"/>
        <d v="2016-03-01T00:00:00" u="1"/>
        <d v="2017-03-01T00:00:00" u="1"/>
        <d v="2018-03-01T00:00:00" u="1"/>
        <d v="2019-03-01T00:00:00" u="1"/>
        <d v="2014-12-01T00:00:00" u="1"/>
        <d v="2015-12-01T00:00:00" u="1"/>
        <d v="2016-12-01T00:00:00" u="1"/>
        <d v="2017-12-01T00:00:00" u="1"/>
        <d v="2018-12-01T00:00:00" u="1"/>
        <d v="2019-12-01T00:00:00" u="1"/>
        <d v="2014-09-01T00:00:00" u="1"/>
        <d v="2015-09-01T00:00:00" u="1"/>
        <d v="2016-09-01T00:00:00" u="1"/>
        <d v="2017-09-01T00:00:00" u="1"/>
        <d v="2018-09-01T00:00:00" u="1"/>
        <d v="2019-09-01T00:00:00" u="1"/>
      </sharedItems>
    </cacheField>
    <cacheField name="Estimate" numFmtId="0">
      <sharedItems containsSemiMixedTypes="0" containsString="0" containsNumber="1" containsInteger="1" minValue="202" maxValue="300012"/>
    </cacheField>
    <cacheField name="model" numFmtId="0">
      <sharedItems containsSemiMixedTypes="0" containsString="0" containsNumber="1" containsInteger="1" minValue="0" maxValue="0"/>
    </cacheField>
    <cacheField name="type" numFmtId="49">
      <sharedItems count="3">
        <s v="Initial"/>
        <s v="1st revision"/>
        <s v="First revision" u="1"/>
      </sharedItems>
    </cacheField>
    <cacheField name="Low95" numFmtId="0">
      <sharedItems containsSemiMixedTypes="0" containsString="0" containsNumber="1" containsInteger="1" minValue="172" maxValue="299017"/>
    </cacheField>
    <cacheField name="High95" numFmtId="0">
      <sharedItems containsSemiMixedTypes="0" containsString="0" containsNumber="1" containsInteger="1" minValue="218" maxValue="301007"/>
    </cacheField>
    <cacheField name="final_count" numFmtId="0">
      <sharedItems containsSemiMixedTypes="0" containsString="0" containsNumber="1" containsInteger="1" minValue="222" maxValue="298900"/>
    </cacheField>
    <cacheField name="perc_of_final_count" numFmtId="0">
      <sharedItems containsSemiMixedTypes="0" containsString="0" containsNumber="1" minValue="74" maxValue="107.9"/>
    </cacheField>
    <cacheField name="count_in_PI" numFmtId="49">
      <sharedItems/>
    </cacheField>
    <cacheField name="raw_value" numFmtId="0">
      <sharedItems containsSemiMixedTypes="0" containsString="0" containsNumber="1" containsInteger="1" minValue="174" maxValue="302984"/>
    </cacheField>
    <cacheField name="model_perc_final_count" numFmtId="0">
      <sharedItems containsSemiMixedTypes="0" containsString="0" containsNumber="1" containsInteger="1" minValue="0" maxValue="0"/>
    </cacheField>
    <cacheField name="Field1" numFmtId="0" formula="perc_of_final_count/100" databaseField="0"/>
    <cacheField name="Baseline" numFmtId="0" formula="perc_of_final_count/perc_of_final_count" databaseField="0"/>
    <cacheField name="Field2" numFmtId="0" formula="perc_of_final_count/100" databaseField="0"/>
    <cacheField name="Model as % of final count" numFmtId="0" formula="model/final_count" databaseField="0"/>
    <cacheField name="Field3" numFmtId="0" formula=" IF(model=0,NA(),model/Estimate)" databaseField="0"/>
    <cacheField name="Model % of final count " numFmtId="0" formula="model_perc_final_count/100" databaseField="0"/>
    <cacheField name="Model as % of final count " numFmtId="0" formula="IF(model_perc_final_count=0,NA(),model_perc_final_count/100)" databaseField="0"/>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8">
  <r>
    <n v="1"/>
    <x v="0"/>
    <x v="0"/>
    <n v="2020.3"/>
    <x v="0"/>
    <x v="0"/>
    <n v="20480"/>
    <n v="0"/>
    <x v="0"/>
    <n v="19563"/>
    <n v="21397"/>
    <n v="20979"/>
    <n v="97.6"/>
    <s v="Y"/>
    <n v="16436"/>
    <n v="0"/>
  </r>
  <r>
    <n v="2"/>
    <x v="0"/>
    <x v="0"/>
    <n v="2020.3"/>
    <x v="1"/>
    <x v="0"/>
    <n v="20868"/>
    <n v="0"/>
    <x v="1"/>
    <n v="20277"/>
    <n v="21459"/>
    <n v="20979"/>
    <n v="99.5"/>
    <s v="Y"/>
    <n v="18767"/>
    <n v="0"/>
  </r>
  <r>
    <n v="3"/>
    <x v="0"/>
    <x v="0"/>
    <n v="2020.4"/>
    <x v="1"/>
    <x v="1"/>
    <n v="15123"/>
    <n v="0"/>
    <x v="0"/>
    <n v="14366"/>
    <n v="15880"/>
    <n v="14919"/>
    <n v="101.4"/>
    <s v="Y"/>
    <n v="12311"/>
    <n v="0"/>
  </r>
  <r>
    <n v="4"/>
    <x v="0"/>
    <x v="0"/>
    <n v="2020.4"/>
    <x v="2"/>
    <x v="1"/>
    <n v="15068"/>
    <n v="0"/>
    <x v="1"/>
    <n v="14700"/>
    <n v="15436"/>
    <n v="14919"/>
    <n v="101"/>
    <s v="Y"/>
    <n v="13628"/>
    <n v="0"/>
  </r>
  <r>
    <n v="5"/>
    <x v="0"/>
    <x v="0"/>
    <n v="2021.1"/>
    <x v="2"/>
    <x v="2"/>
    <n v="16992"/>
    <n v="0"/>
    <x v="0"/>
    <n v="16109"/>
    <n v="17875"/>
    <n v="16474"/>
    <n v="103.1"/>
    <s v="Y"/>
    <n v="13887"/>
    <n v="0"/>
  </r>
  <r>
    <n v="6"/>
    <x v="0"/>
    <x v="0"/>
    <n v="2021.1"/>
    <x v="3"/>
    <x v="2"/>
    <n v="16584"/>
    <n v="0"/>
    <x v="1"/>
    <n v="16288"/>
    <n v="16880"/>
    <n v="16474"/>
    <n v="100.7"/>
    <s v="Y"/>
    <n v="15075"/>
    <n v="0"/>
  </r>
  <r>
    <n v="7"/>
    <x v="0"/>
    <x v="0"/>
    <n v="2021.2"/>
    <x v="3"/>
    <x v="3"/>
    <n v="19140"/>
    <n v="0"/>
    <x v="0"/>
    <n v="18435"/>
    <n v="19845"/>
    <n v="20007"/>
    <n v="95.7"/>
    <s v="N"/>
    <n v="15718"/>
    <n v="0"/>
  </r>
  <r>
    <n v="8"/>
    <x v="0"/>
    <x v="0"/>
    <n v="2021.2"/>
    <x v="4"/>
    <x v="3"/>
    <n v="19552"/>
    <n v="0"/>
    <x v="1"/>
    <n v="19232"/>
    <n v="19872"/>
    <n v="20007"/>
    <n v="97.7"/>
    <s v="N"/>
    <n v="17803"/>
    <n v="0"/>
  </r>
  <r>
    <n v="9"/>
    <x v="0"/>
    <x v="1"/>
    <n v="2021.3"/>
    <x v="4"/>
    <x v="4"/>
    <n v="66634"/>
    <n v="0"/>
    <x v="0"/>
    <n v="65878"/>
    <n v="67390"/>
    <n v="69148"/>
    <n v="96.4"/>
    <s v="N"/>
    <n v="64854"/>
    <n v="0"/>
  </r>
  <r>
    <n v="10"/>
    <x v="0"/>
    <x v="1"/>
    <n v="2021.3"/>
    <x v="5"/>
    <x v="4"/>
    <n v="68910"/>
    <n v="0"/>
    <x v="1"/>
    <n v="68606"/>
    <n v="69214"/>
    <n v="69148"/>
    <n v="99.7"/>
    <s v="N"/>
    <n v="68536"/>
    <n v="0"/>
  </r>
  <r>
    <n v="11"/>
    <x v="0"/>
    <x v="1"/>
    <n v="2021.4"/>
    <x v="5"/>
    <x v="5"/>
    <n v="47785"/>
    <n v="0"/>
    <x v="0"/>
    <n v="46013"/>
    <n v="49557"/>
    <n v="48972"/>
    <n v="97.6"/>
    <s v="Y"/>
    <n v="46200"/>
    <n v="0"/>
  </r>
  <r>
    <n v="12"/>
    <x v="0"/>
    <x v="1"/>
    <n v="2021.4"/>
    <x v="6"/>
    <x v="5"/>
    <n v="48734"/>
    <n v="0"/>
    <x v="1"/>
    <n v="48536"/>
    <n v="48932"/>
    <n v="48972"/>
    <n v="99.5"/>
    <s v="Y"/>
    <n v="48475"/>
    <n v="0"/>
  </r>
  <r>
    <n v="13"/>
    <x v="0"/>
    <x v="1"/>
    <n v="2022.1"/>
    <x v="6"/>
    <x v="6"/>
    <n v="48751"/>
    <n v="0"/>
    <x v="0"/>
    <n v="47141"/>
    <n v="50361"/>
    <n v="50025"/>
    <n v="97.5"/>
    <s v="Y"/>
    <n v="47277"/>
    <n v="0"/>
  </r>
  <r>
    <n v="14"/>
    <x v="0"/>
    <x v="1"/>
    <n v="2022.1"/>
    <x v="7"/>
    <x v="6"/>
    <n v="49694"/>
    <n v="0"/>
    <x v="1"/>
    <n v="49481"/>
    <n v="49907"/>
    <n v="50025"/>
    <n v="99.3"/>
    <s v="Y"/>
    <n v="49408"/>
    <n v="0"/>
  </r>
  <r>
    <n v="15"/>
    <x v="0"/>
    <x v="1"/>
    <n v="2022.2"/>
    <x v="7"/>
    <x v="7"/>
    <n v="48686"/>
    <n v="0"/>
    <x v="0"/>
    <n v="46864"/>
    <n v="50508"/>
    <n v="50676"/>
    <n v="96.1"/>
    <s v="N"/>
    <n v="46998"/>
    <n v="0"/>
  </r>
  <r>
    <n v="16"/>
    <x v="0"/>
    <x v="1"/>
    <n v="2022.2"/>
    <x v="8"/>
    <x v="7"/>
    <n v="50280"/>
    <n v="0"/>
    <x v="1"/>
    <n v="50053"/>
    <n v="50507"/>
    <n v="50676"/>
    <n v="99.2"/>
    <s v="N"/>
    <n v="49943"/>
    <n v="0"/>
  </r>
  <r>
    <n v="17"/>
    <x v="0"/>
    <x v="2"/>
    <n v="2021.3"/>
    <x v="4"/>
    <x v="4"/>
    <n v="20009"/>
    <n v="0"/>
    <x v="0"/>
    <n v="19782"/>
    <n v="20236"/>
    <n v="19925"/>
    <n v="100.4"/>
    <s v="Y"/>
    <n v="18857"/>
    <n v="0"/>
  </r>
  <r>
    <n v="18"/>
    <x v="0"/>
    <x v="2"/>
    <n v="2021.3"/>
    <x v="5"/>
    <x v="4"/>
    <n v="20115"/>
    <n v="0"/>
    <x v="1"/>
    <n v="19993"/>
    <n v="20237"/>
    <n v="19925"/>
    <n v="101"/>
    <s v="Y"/>
    <n v="19604"/>
    <n v="0"/>
  </r>
  <r>
    <n v="19"/>
    <x v="0"/>
    <x v="2"/>
    <n v="2021.4"/>
    <x v="5"/>
    <x v="5"/>
    <n v="17799"/>
    <n v="0"/>
    <x v="0"/>
    <n v="17587"/>
    <n v="18011"/>
    <n v="17736"/>
    <n v="100.4"/>
    <s v="Y"/>
    <n v="16799"/>
    <n v="0"/>
  </r>
  <r>
    <n v="20"/>
    <x v="0"/>
    <x v="2"/>
    <n v="2021.4"/>
    <x v="6"/>
    <x v="5"/>
    <n v="17830"/>
    <n v="0"/>
    <x v="1"/>
    <n v="17730"/>
    <n v="17930"/>
    <n v="17736"/>
    <n v="100.5"/>
    <s v="Y"/>
    <n v="17388"/>
    <n v="0"/>
  </r>
  <r>
    <n v="21"/>
    <x v="0"/>
    <x v="2"/>
    <n v="2022.1"/>
    <x v="6"/>
    <x v="6"/>
    <n v="18402"/>
    <n v="0"/>
    <x v="0"/>
    <n v="18204"/>
    <n v="18600"/>
    <n v="18377"/>
    <n v="100.1"/>
    <s v="Y"/>
    <n v="17412"/>
    <n v="0"/>
  </r>
  <r>
    <n v="22"/>
    <x v="0"/>
    <x v="2"/>
    <n v="2022.1"/>
    <x v="7"/>
    <x v="6"/>
    <n v="18471"/>
    <n v="0"/>
    <x v="1"/>
    <n v="18383"/>
    <n v="18559"/>
    <n v="18377"/>
    <n v="100.5"/>
    <s v="Y"/>
    <n v="18032"/>
    <n v="0"/>
  </r>
  <r>
    <n v="23"/>
    <x v="0"/>
    <x v="2"/>
    <n v="2022.2"/>
    <x v="7"/>
    <x v="7"/>
    <n v="26813"/>
    <n v="0"/>
    <x v="0"/>
    <n v="26532"/>
    <n v="27094"/>
    <n v="26990"/>
    <n v="99.3"/>
    <s v="Y"/>
    <n v="25332"/>
    <n v="0"/>
  </r>
  <r>
    <n v="24"/>
    <x v="0"/>
    <x v="2"/>
    <n v="2022.2"/>
    <x v="8"/>
    <x v="7"/>
    <n v="26940"/>
    <n v="0"/>
    <x v="1"/>
    <n v="26765"/>
    <n v="27115"/>
    <n v="26990"/>
    <n v="99.8"/>
    <s v="Y"/>
    <n v="26274"/>
    <n v="0"/>
  </r>
  <r>
    <n v="25"/>
    <x v="0"/>
    <x v="3"/>
    <n v="2020.3"/>
    <x v="0"/>
    <x v="0"/>
    <n v="272495"/>
    <n v="0"/>
    <x v="0"/>
    <n v="270726"/>
    <n v="274264"/>
    <n v="272157"/>
    <n v="100.1"/>
    <s v="Y"/>
    <n v="279046"/>
    <n v="0"/>
  </r>
  <r>
    <n v="26"/>
    <x v="0"/>
    <x v="3"/>
    <n v="2020.3"/>
    <x v="1"/>
    <x v="0"/>
    <n v="273113"/>
    <n v="0"/>
    <x v="1"/>
    <n v="271855"/>
    <n v="274371"/>
    <n v="272157"/>
    <n v="100.4"/>
    <s v="Y"/>
    <n v="277153"/>
    <n v="0"/>
  </r>
  <r>
    <n v="27"/>
    <x v="0"/>
    <x v="3"/>
    <n v="2020.4"/>
    <x v="1"/>
    <x v="1"/>
    <n v="266557"/>
    <n v="0"/>
    <x v="0"/>
    <n v="265021"/>
    <n v="268093"/>
    <n v="267252"/>
    <n v="99.7"/>
    <s v="Y"/>
    <n v="272805"/>
    <n v="0"/>
  </r>
  <r>
    <n v="28"/>
    <x v="0"/>
    <x v="3"/>
    <n v="2020.4"/>
    <x v="2"/>
    <x v="1"/>
    <n v="268258"/>
    <n v="0"/>
    <x v="1"/>
    <n v="267160"/>
    <n v="269356"/>
    <n v="267252"/>
    <n v="100.4"/>
    <s v="Y"/>
    <n v="271428"/>
    <n v="0"/>
  </r>
  <r>
    <n v="29"/>
    <x v="0"/>
    <x v="3"/>
    <n v="2021.1"/>
    <x v="2"/>
    <x v="2"/>
    <n v="264419"/>
    <n v="0"/>
    <x v="0"/>
    <n v="262938"/>
    <n v="265900"/>
    <n v="263854"/>
    <n v="100.2"/>
    <s v="Y"/>
    <n v="269852"/>
    <n v="0"/>
  </r>
  <r>
    <n v="30"/>
    <x v="0"/>
    <x v="3"/>
    <n v="2021.1"/>
    <x v="3"/>
    <x v="2"/>
    <n v="265086"/>
    <n v="0"/>
    <x v="1"/>
    <n v="264224"/>
    <n v="265948"/>
    <n v="263854"/>
    <n v="100.5"/>
    <s v="Y"/>
    <n v="267962"/>
    <n v="0"/>
  </r>
  <r>
    <n v="31"/>
    <x v="0"/>
    <x v="3"/>
    <n v="2021.2"/>
    <x v="3"/>
    <x v="3"/>
    <n v="297914"/>
    <n v="0"/>
    <x v="0"/>
    <n v="296510"/>
    <n v="299318"/>
    <n v="298900"/>
    <n v="99.7"/>
    <s v="Y"/>
    <n v="302586"/>
    <n v="0"/>
  </r>
  <r>
    <n v="32"/>
    <x v="0"/>
    <x v="3"/>
    <n v="2021.2"/>
    <x v="4"/>
    <x v="3"/>
    <n v="300012"/>
    <n v="0"/>
    <x v="1"/>
    <n v="299017"/>
    <n v="301007"/>
    <n v="298900"/>
    <n v="100.4"/>
    <s v="Y"/>
    <n v="302984"/>
    <n v="0"/>
  </r>
  <r>
    <n v="33"/>
    <x v="1"/>
    <x v="0"/>
    <n v="2020.3"/>
    <x v="0"/>
    <x v="0"/>
    <n v="420"/>
    <n v="0"/>
    <x v="0"/>
    <n v="406"/>
    <n v="434"/>
    <n v="419"/>
    <n v="100.2"/>
    <s v="Y"/>
    <n v="420"/>
    <n v="0"/>
  </r>
  <r>
    <n v="34"/>
    <x v="1"/>
    <x v="0"/>
    <n v="2020.3"/>
    <x v="1"/>
    <x v="0"/>
    <n v="419"/>
    <n v="0"/>
    <x v="1"/>
    <n v="417"/>
    <n v="421"/>
    <n v="419"/>
    <n v="100"/>
    <s v="Y"/>
    <n v="419"/>
    <n v="0"/>
  </r>
  <r>
    <n v="35"/>
    <x v="1"/>
    <x v="0"/>
    <n v="2020.4"/>
    <x v="1"/>
    <x v="1"/>
    <n v="367"/>
    <n v="0"/>
    <x v="0"/>
    <n v="365"/>
    <n v="369"/>
    <n v="367"/>
    <n v="100"/>
    <s v="Y"/>
    <n v="367"/>
    <n v="0"/>
  </r>
  <r>
    <n v="36"/>
    <x v="1"/>
    <x v="0"/>
    <n v="2020.4"/>
    <x v="2"/>
    <x v="1"/>
    <n v="367"/>
    <n v="0"/>
    <x v="1"/>
    <n v="365"/>
    <n v="369"/>
    <n v="367"/>
    <n v="100"/>
    <s v="Y"/>
    <n v="367"/>
    <n v="0"/>
  </r>
  <r>
    <n v="37"/>
    <x v="1"/>
    <x v="0"/>
    <n v="2021.1"/>
    <x v="2"/>
    <x v="2"/>
    <n v="431"/>
    <n v="0"/>
    <x v="0"/>
    <n v="428"/>
    <n v="434"/>
    <n v="428"/>
    <n v="100.7"/>
    <s v="N"/>
    <n v="431"/>
    <n v="0"/>
  </r>
  <r>
    <n v="38"/>
    <x v="1"/>
    <x v="0"/>
    <n v="2021.1"/>
    <x v="3"/>
    <x v="2"/>
    <n v="431"/>
    <n v="0"/>
    <x v="1"/>
    <n v="427"/>
    <n v="435"/>
    <n v="428"/>
    <n v="100.7"/>
    <s v="N"/>
    <n v="431"/>
    <n v="0"/>
  </r>
  <r>
    <n v="39"/>
    <x v="1"/>
    <x v="0"/>
    <n v="2021.2"/>
    <x v="3"/>
    <x v="3"/>
    <n v="414"/>
    <n v="0"/>
    <x v="0"/>
    <n v="410"/>
    <n v="418"/>
    <n v="414"/>
    <n v="100"/>
    <s v="Y"/>
    <n v="414"/>
    <n v="0"/>
  </r>
  <r>
    <n v="40"/>
    <x v="1"/>
    <x v="0"/>
    <n v="2021.2"/>
    <x v="4"/>
    <x v="3"/>
    <n v="414"/>
    <n v="0"/>
    <x v="1"/>
    <n v="410"/>
    <n v="418"/>
    <n v="414"/>
    <n v="100"/>
    <s v="Y"/>
    <n v="414"/>
    <n v="0"/>
  </r>
  <r>
    <n v="41"/>
    <x v="1"/>
    <x v="1"/>
    <n v="2021.3"/>
    <x v="4"/>
    <x v="4"/>
    <n v="1711"/>
    <n v="0"/>
    <x v="0"/>
    <n v="1593"/>
    <n v="1829"/>
    <n v="1746"/>
    <n v="98"/>
    <s v="Y"/>
    <n v="1629"/>
    <n v="0"/>
  </r>
  <r>
    <n v="42"/>
    <x v="1"/>
    <x v="1"/>
    <n v="2021.3"/>
    <x v="5"/>
    <x v="4"/>
    <n v="1756"/>
    <n v="0"/>
    <x v="1"/>
    <n v="1714"/>
    <n v="1798"/>
    <n v="1746"/>
    <n v="100.6"/>
    <s v="Y"/>
    <n v="1732"/>
    <n v="0"/>
  </r>
  <r>
    <n v="43"/>
    <x v="1"/>
    <x v="1"/>
    <n v="2021.4"/>
    <x v="5"/>
    <x v="5"/>
    <n v="1187"/>
    <n v="0"/>
    <x v="0"/>
    <n v="1103"/>
    <n v="1271"/>
    <n v="1170"/>
    <n v="101.5"/>
    <s v="Y"/>
    <n v="1123"/>
    <n v="0"/>
  </r>
  <r>
    <n v="44"/>
    <x v="1"/>
    <x v="1"/>
    <n v="2021.4"/>
    <x v="6"/>
    <x v="5"/>
    <n v="1177"/>
    <n v="0"/>
    <x v="1"/>
    <n v="1150"/>
    <n v="1204"/>
    <n v="1170"/>
    <n v="100.6"/>
    <s v="Y"/>
    <n v="1159"/>
    <n v="0"/>
  </r>
  <r>
    <n v="45"/>
    <x v="1"/>
    <x v="1"/>
    <n v="2022.1"/>
    <x v="6"/>
    <x v="6"/>
    <n v="1149"/>
    <n v="0"/>
    <x v="0"/>
    <n v="1069"/>
    <n v="1229"/>
    <n v="1121"/>
    <n v="102.5"/>
    <s v="Y"/>
    <n v="1086"/>
    <n v="0"/>
  </r>
  <r>
    <n v="46"/>
    <x v="1"/>
    <x v="1"/>
    <n v="2022.1"/>
    <x v="7"/>
    <x v="6"/>
    <n v="1139"/>
    <n v="0"/>
    <x v="1"/>
    <n v="1112"/>
    <n v="1166"/>
    <n v="1121"/>
    <n v="101.6"/>
    <s v="Y"/>
    <n v="1118"/>
    <n v="0"/>
  </r>
  <r>
    <n v="47"/>
    <x v="1"/>
    <x v="1"/>
    <n v="2022.2"/>
    <x v="7"/>
    <x v="7"/>
    <n v="1058"/>
    <n v="0"/>
    <x v="0"/>
    <n v="976"/>
    <n v="1140"/>
    <n v="1016"/>
    <n v="104.1"/>
    <s v="Y"/>
    <n v="990"/>
    <n v="0"/>
  </r>
  <r>
    <n v="48"/>
    <x v="1"/>
    <x v="1"/>
    <n v="2022.2"/>
    <x v="8"/>
    <x v="7"/>
    <n v="1027"/>
    <n v="0"/>
    <x v="1"/>
    <n v="1005"/>
    <n v="1049"/>
    <n v="1016"/>
    <n v="101.1"/>
    <s v="Y"/>
    <n v="1008"/>
    <n v="0"/>
  </r>
  <r>
    <n v="49"/>
    <x v="1"/>
    <x v="2"/>
    <n v="2021.3"/>
    <x v="4"/>
    <x v="4"/>
    <n v="412"/>
    <n v="0"/>
    <x v="0"/>
    <n v="398"/>
    <n v="426"/>
    <n v="416"/>
    <n v="99"/>
    <s v="Y"/>
    <n v="393"/>
    <n v="0"/>
  </r>
  <r>
    <n v="50"/>
    <x v="1"/>
    <x v="2"/>
    <n v="2021.3"/>
    <x v="5"/>
    <x v="4"/>
    <n v="418"/>
    <n v="0"/>
    <x v="1"/>
    <n v="409"/>
    <n v="427"/>
    <n v="416"/>
    <n v="100.5"/>
    <s v="Y"/>
    <n v="409"/>
    <n v="0"/>
  </r>
  <r>
    <n v="51"/>
    <x v="1"/>
    <x v="2"/>
    <n v="2021.4"/>
    <x v="5"/>
    <x v="5"/>
    <n v="468"/>
    <n v="0"/>
    <x v="0"/>
    <n v="453"/>
    <n v="483"/>
    <n v="472"/>
    <n v="99.2"/>
    <s v="Y"/>
    <n v="446"/>
    <n v="0"/>
  </r>
  <r>
    <n v="52"/>
    <x v="1"/>
    <x v="2"/>
    <n v="2021.4"/>
    <x v="6"/>
    <x v="5"/>
    <n v="463"/>
    <n v="0"/>
    <x v="1"/>
    <n v="453"/>
    <n v="473"/>
    <n v="472"/>
    <n v="98.1"/>
    <s v="Y"/>
    <n v="452"/>
    <n v="0"/>
  </r>
  <r>
    <n v="53"/>
    <x v="1"/>
    <x v="2"/>
    <n v="2022.1"/>
    <x v="6"/>
    <x v="6"/>
    <n v="378"/>
    <n v="0"/>
    <x v="0"/>
    <n v="361"/>
    <n v="395"/>
    <n v="383"/>
    <n v="98.7"/>
    <s v="Y"/>
    <n v="361"/>
    <n v="0"/>
  </r>
  <r>
    <n v="54"/>
    <x v="1"/>
    <x v="2"/>
    <n v="2022.1"/>
    <x v="7"/>
    <x v="6"/>
    <n v="387"/>
    <n v="0"/>
    <x v="1"/>
    <n v="379"/>
    <n v="395"/>
    <n v="383"/>
    <n v="101"/>
    <s v="Y"/>
    <n v="378"/>
    <n v="0"/>
  </r>
  <r>
    <n v="55"/>
    <x v="1"/>
    <x v="2"/>
    <n v="2022.2"/>
    <x v="7"/>
    <x v="7"/>
    <n v="873"/>
    <n v="0"/>
    <x v="0"/>
    <n v="831"/>
    <n v="915"/>
    <n v="881"/>
    <n v="99.1"/>
    <s v="Y"/>
    <n v="829"/>
    <n v="0"/>
  </r>
  <r>
    <n v="56"/>
    <x v="1"/>
    <x v="2"/>
    <n v="2022.2"/>
    <x v="8"/>
    <x v="7"/>
    <n v="867"/>
    <n v="0"/>
    <x v="1"/>
    <n v="850"/>
    <n v="884"/>
    <n v="881"/>
    <n v="98.4"/>
    <s v="Y"/>
    <n v="846"/>
    <n v="0"/>
  </r>
  <r>
    <n v="57"/>
    <x v="1"/>
    <x v="3"/>
    <n v="2020.3"/>
    <x v="0"/>
    <x v="0"/>
    <n v="6291"/>
    <n v="0"/>
    <x v="0"/>
    <n v="6177"/>
    <n v="6405"/>
    <n v="6722"/>
    <n v="93.6"/>
    <s v="N"/>
    <n v="6614"/>
    <n v="0"/>
  </r>
  <r>
    <n v="58"/>
    <x v="1"/>
    <x v="3"/>
    <n v="2020.3"/>
    <x v="1"/>
    <x v="0"/>
    <n v="6424"/>
    <n v="0"/>
    <x v="1"/>
    <n v="6376"/>
    <n v="6472"/>
    <n v="6722"/>
    <n v="95.6"/>
    <s v="N"/>
    <n v="6704"/>
    <n v="0"/>
  </r>
  <r>
    <n v="59"/>
    <x v="1"/>
    <x v="3"/>
    <n v="2020.4"/>
    <x v="1"/>
    <x v="1"/>
    <n v="6243"/>
    <n v="0"/>
    <x v="0"/>
    <n v="6177"/>
    <n v="6309"/>
    <n v="6611"/>
    <n v="94.4"/>
    <s v="N"/>
    <n v="6560"/>
    <n v="0"/>
  </r>
  <r>
    <n v="60"/>
    <x v="1"/>
    <x v="3"/>
    <n v="2020.4"/>
    <x v="2"/>
    <x v="1"/>
    <n v="6331"/>
    <n v="0"/>
    <x v="1"/>
    <n v="6279"/>
    <n v="6383"/>
    <n v="6611"/>
    <n v="95.8"/>
    <s v="N"/>
    <n v="6600"/>
    <n v="0"/>
  </r>
  <r>
    <n v="61"/>
    <x v="1"/>
    <x v="3"/>
    <n v="2021.1"/>
    <x v="2"/>
    <x v="2"/>
    <n v="6333"/>
    <n v="0"/>
    <x v="0"/>
    <n v="6249"/>
    <n v="6417"/>
    <n v="6716"/>
    <n v="94.3"/>
    <s v="N"/>
    <n v="6644"/>
    <n v="0"/>
  </r>
  <r>
    <n v="62"/>
    <x v="1"/>
    <x v="3"/>
    <n v="2021.1"/>
    <x v="3"/>
    <x v="2"/>
    <n v="6408"/>
    <n v="0"/>
    <x v="1"/>
    <n v="6356"/>
    <n v="6460"/>
    <n v="6716"/>
    <n v="95.4"/>
    <s v="N"/>
    <n v="6696"/>
    <n v="0"/>
  </r>
  <r>
    <n v="63"/>
    <x v="1"/>
    <x v="3"/>
    <n v="2021.2"/>
    <x v="3"/>
    <x v="3"/>
    <n v="6373"/>
    <n v="0"/>
    <x v="0"/>
    <n v="6279"/>
    <n v="6467"/>
    <n v="6821"/>
    <n v="93.4"/>
    <s v="N"/>
    <n v="6714"/>
    <n v="0"/>
  </r>
  <r>
    <n v="64"/>
    <x v="1"/>
    <x v="3"/>
    <n v="2021.2"/>
    <x v="4"/>
    <x v="3"/>
    <n v="6464"/>
    <n v="0"/>
    <x v="1"/>
    <n v="6411"/>
    <n v="6517"/>
    <n v="6821"/>
    <n v="94.8"/>
    <s v="N"/>
    <n v="6795"/>
    <n v="0"/>
  </r>
  <r>
    <n v="65"/>
    <x v="2"/>
    <x v="0"/>
    <n v="2020.3"/>
    <x v="0"/>
    <x v="0"/>
    <n v="7011"/>
    <n v="0"/>
    <x v="0"/>
    <n v="6335"/>
    <n v="7687"/>
    <n v="7010"/>
    <n v="100"/>
    <s v="Y"/>
    <n v="5160"/>
    <n v="0"/>
  </r>
  <r>
    <n v="66"/>
    <x v="2"/>
    <x v="0"/>
    <n v="2020.3"/>
    <x v="1"/>
    <x v="0"/>
    <n v="6992"/>
    <n v="0"/>
    <x v="1"/>
    <n v="6585"/>
    <n v="7399"/>
    <n v="7010"/>
    <n v="99.7"/>
    <s v="Y"/>
    <n v="6035"/>
    <n v="0"/>
  </r>
  <r>
    <n v="67"/>
    <x v="2"/>
    <x v="0"/>
    <n v="2020.4"/>
    <x v="1"/>
    <x v="1"/>
    <n v="5024"/>
    <n v="0"/>
    <x v="0"/>
    <n v="4432"/>
    <n v="5616"/>
    <n v="4885"/>
    <n v="102.8"/>
    <s v="Y"/>
    <n v="3731"/>
    <n v="0"/>
  </r>
  <r>
    <n v="68"/>
    <x v="2"/>
    <x v="0"/>
    <n v="2020.4"/>
    <x v="2"/>
    <x v="1"/>
    <n v="4992"/>
    <n v="0"/>
    <x v="1"/>
    <n v="4689"/>
    <n v="5295"/>
    <n v="4885"/>
    <n v="102.2"/>
    <s v="Y"/>
    <n v="4322"/>
    <n v="0"/>
  </r>
  <r>
    <n v="69"/>
    <x v="2"/>
    <x v="0"/>
    <n v="2021.1"/>
    <x v="2"/>
    <x v="2"/>
    <n v="6066"/>
    <n v="0"/>
    <x v="0"/>
    <n v="5310"/>
    <n v="6822"/>
    <n v="5672"/>
    <n v="106.9"/>
    <s v="Y"/>
    <n v="4517"/>
    <n v="0"/>
  </r>
  <r>
    <n v="70"/>
    <x v="2"/>
    <x v="0"/>
    <n v="2021.1"/>
    <x v="3"/>
    <x v="2"/>
    <n v="5842"/>
    <n v="0"/>
    <x v="1"/>
    <n v="5581"/>
    <n v="6103"/>
    <n v="5672"/>
    <n v="103"/>
    <s v="Y"/>
    <n v="5074"/>
    <n v="0"/>
  </r>
  <r>
    <n v="71"/>
    <x v="2"/>
    <x v="0"/>
    <n v="2021.2"/>
    <x v="3"/>
    <x v="3"/>
    <n v="6515"/>
    <n v="0"/>
    <x v="0"/>
    <n v="5899"/>
    <n v="7131"/>
    <n v="6458"/>
    <n v="100.9"/>
    <s v="Y"/>
    <n v="4885"/>
    <n v="0"/>
  </r>
  <r>
    <n v="72"/>
    <x v="2"/>
    <x v="0"/>
    <n v="2021.2"/>
    <x v="4"/>
    <x v="3"/>
    <n v="6485"/>
    <n v="0"/>
    <x v="1"/>
    <n v="6275"/>
    <n v="6695"/>
    <n v="6458"/>
    <n v="100.4"/>
    <s v="Y"/>
    <n v="5658"/>
    <n v="0"/>
  </r>
  <r>
    <n v="73"/>
    <x v="2"/>
    <x v="1"/>
    <n v="2021.3"/>
    <x v="4"/>
    <x v="4"/>
    <n v="19940"/>
    <n v="0"/>
    <x v="0"/>
    <n v="19333"/>
    <n v="20547"/>
    <n v="21388"/>
    <n v="93.2"/>
    <s v="N"/>
    <n v="18978"/>
    <n v="0"/>
  </r>
  <r>
    <n v="74"/>
    <x v="2"/>
    <x v="1"/>
    <n v="2021.3"/>
    <x v="5"/>
    <x v="4"/>
    <n v="21247"/>
    <n v="0"/>
    <x v="1"/>
    <n v="20971"/>
    <n v="21523"/>
    <n v="21388"/>
    <n v="99.3"/>
    <s v="N"/>
    <n v="21030"/>
    <n v="0"/>
  </r>
  <r>
    <n v="75"/>
    <x v="2"/>
    <x v="1"/>
    <n v="2021.4"/>
    <x v="5"/>
    <x v="5"/>
    <n v="12498"/>
    <n v="0"/>
    <x v="0"/>
    <n v="10826"/>
    <n v="14170"/>
    <n v="12918"/>
    <n v="96.7"/>
    <s v="Y"/>
    <n v="11658"/>
    <n v="0"/>
  </r>
  <r>
    <n v="76"/>
    <x v="2"/>
    <x v="1"/>
    <n v="2021.4"/>
    <x v="6"/>
    <x v="5"/>
    <n v="12771"/>
    <n v="0"/>
    <x v="1"/>
    <n v="12596"/>
    <n v="12946"/>
    <n v="12918"/>
    <n v="98.9"/>
    <s v="Y"/>
    <n v="12631"/>
    <n v="0"/>
  </r>
  <r>
    <n v="77"/>
    <x v="2"/>
    <x v="1"/>
    <n v="2022.1"/>
    <x v="6"/>
    <x v="6"/>
    <n v="10902"/>
    <n v="0"/>
    <x v="0"/>
    <n v="9421"/>
    <n v="12383"/>
    <n v="11213"/>
    <n v="97.2"/>
    <s v="Y"/>
    <n v="10195"/>
    <n v="0"/>
  </r>
  <r>
    <n v="78"/>
    <x v="2"/>
    <x v="1"/>
    <n v="2022.1"/>
    <x v="7"/>
    <x v="6"/>
    <n v="11034"/>
    <n v="0"/>
    <x v="1"/>
    <n v="10851"/>
    <n v="11217"/>
    <n v="11213"/>
    <n v="98.4"/>
    <s v="Y"/>
    <n v="10892"/>
    <n v="0"/>
  </r>
  <r>
    <n v="79"/>
    <x v="2"/>
    <x v="1"/>
    <n v="2022.2"/>
    <x v="7"/>
    <x v="7"/>
    <n v="12201"/>
    <n v="0"/>
    <x v="0"/>
    <n v="10498"/>
    <n v="13904"/>
    <n v="13129"/>
    <n v="92.9"/>
    <s v="Y"/>
    <n v="11301"/>
    <n v="0"/>
  </r>
  <r>
    <n v="80"/>
    <x v="2"/>
    <x v="1"/>
    <n v="2022.2"/>
    <x v="8"/>
    <x v="7"/>
    <n v="13016"/>
    <n v="0"/>
    <x v="1"/>
    <n v="12814"/>
    <n v="13218"/>
    <n v="13129"/>
    <n v="99.1"/>
    <s v="Y"/>
    <n v="12829"/>
    <n v="0"/>
  </r>
  <r>
    <n v="81"/>
    <x v="2"/>
    <x v="2"/>
    <n v="2021.3"/>
    <x v="4"/>
    <x v="4"/>
    <n v="6725"/>
    <n v="0"/>
    <x v="0"/>
    <n v="6577"/>
    <n v="6873"/>
    <n v="6671"/>
    <n v="100.8"/>
    <s v="Y"/>
    <n v="6305"/>
    <n v="0"/>
  </r>
  <r>
    <n v="82"/>
    <x v="2"/>
    <x v="2"/>
    <n v="2021.3"/>
    <x v="5"/>
    <x v="4"/>
    <n v="6743"/>
    <n v="0"/>
    <x v="1"/>
    <n v="6670"/>
    <n v="6816"/>
    <n v="6671"/>
    <n v="101.1"/>
    <s v="Y"/>
    <n v="6556"/>
    <n v="0"/>
  </r>
  <r>
    <n v="83"/>
    <x v="2"/>
    <x v="2"/>
    <n v="2021.4"/>
    <x v="5"/>
    <x v="5"/>
    <n v="5142"/>
    <n v="0"/>
    <x v="0"/>
    <n v="5038"/>
    <n v="5246"/>
    <n v="5166"/>
    <n v="99.5"/>
    <s v="Y"/>
    <n v="4819"/>
    <n v="0"/>
  </r>
  <r>
    <n v="84"/>
    <x v="2"/>
    <x v="2"/>
    <n v="2021.4"/>
    <x v="6"/>
    <x v="5"/>
    <n v="5194"/>
    <n v="0"/>
    <x v="1"/>
    <n v="5137"/>
    <n v="5251"/>
    <n v="5166"/>
    <n v="100.5"/>
    <s v="Y"/>
    <n v="5050"/>
    <n v="0"/>
  </r>
  <r>
    <n v="85"/>
    <x v="2"/>
    <x v="2"/>
    <n v="2022.1"/>
    <x v="6"/>
    <x v="6"/>
    <n v="4921"/>
    <n v="0"/>
    <x v="0"/>
    <n v="4818"/>
    <n v="5024"/>
    <n v="4886"/>
    <n v="100.7"/>
    <s v="Y"/>
    <n v="4611"/>
    <n v="0"/>
  </r>
  <r>
    <n v="86"/>
    <x v="2"/>
    <x v="2"/>
    <n v="2022.1"/>
    <x v="7"/>
    <x v="6"/>
    <n v="4916"/>
    <n v="0"/>
    <x v="1"/>
    <n v="4876"/>
    <n v="4956"/>
    <n v="4886"/>
    <n v="100.6"/>
    <s v="Y"/>
    <n v="4780"/>
    <n v="0"/>
  </r>
  <r>
    <n v="87"/>
    <x v="2"/>
    <x v="2"/>
    <n v="2022.2"/>
    <x v="7"/>
    <x v="7"/>
    <n v="6423"/>
    <n v="0"/>
    <x v="0"/>
    <n v="6299"/>
    <n v="6547"/>
    <n v="6584"/>
    <n v="97.6"/>
    <s v="N"/>
    <n v="6018"/>
    <n v="0"/>
  </r>
  <r>
    <n v="88"/>
    <x v="2"/>
    <x v="2"/>
    <n v="2022.2"/>
    <x v="8"/>
    <x v="7"/>
    <n v="6509"/>
    <n v="0"/>
    <x v="1"/>
    <n v="6435"/>
    <n v="6583"/>
    <n v="6584"/>
    <n v="98.9"/>
    <s v="N"/>
    <n v="6330"/>
    <n v="0"/>
  </r>
  <r>
    <n v="89"/>
    <x v="2"/>
    <x v="3"/>
    <n v="2020.3"/>
    <x v="0"/>
    <x v="0"/>
    <n v="86160"/>
    <n v="0"/>
    <x v="0"/>
    <n v="84854"/>
    <n v="87466"/>
    <n v="85627"/>
    <n v="100.6"/>
    <s v="Y"/>
    <n v="88421"/>
    <n v="0"/>
  </r>
  <r>
    <n v="90"/>
    <x v="2"/>
    <x v="3"/>
    <n v="2020.3"/>
    <x v="1"/>
    <x v="0"/>
    <n v="86494"/>
    <n v="0"/>
    <x v="1"/>
    <n v="85574"/>
    <n v="87414"/>
    <n v="85627"/>
    <n v="101"/>
    <s v="Y"/>
    <n v="87636"/>
    <n v="0"/>
  </r>
  <r>
    <n v="91"/>
    <x v="2"/>
    <x v="3"/>
    <n v="2020.4"/>
    <x v="1"/>
    <x v="1"/>
    <n v="84599"/>
    <n v="0"/>
    <x v="0"/>
    <n v="83461"/>
    <n v="85737"/>
    <n v="84837"/>
    <n v="99.7"/>
    <s v="Y"/>
    <n v="86663"/>
    <n v="0"/>
  </r>
  <r>
    <n v="92"/>
    <x v="2"/>
    <x v="3"/>
    <n v="2020.4"/>
    <x v="2"/>
    <x v="1"/>
    <n v="85412"/>
    <n v="0"/>
    <x v="1"/>
    <n v="84601"/>
    <n v="86223"/>
    <n v="84837"/>
    <n v="100.7"/>
    <s v="Y"/>
    <n v="86470"/>
    <n v="0"/>
  </r>
  <r>
    <n v="93"/>
    <x v="2"/>
    <x v="3"/>
    <n v="2021.1"/>
    <x v="2"/>
    <x v="2"/>
    <n v="83500"/>
    <n v="0"/>
    <x v="0"/>
    <n v="82344"/>
    <n v="84656"/>
    <n v="83417"/>
    <n v="100.1"/>
    <s v="Y"/>
    <n v="85737"/>
    <n v="0"/>
  </r>
  <r>
    <n v="94"/>
    <x v="2"/>
    <x v="3"/>
    <n v="2021.1"/>
    <x v="3"/>
    <x v="2"/>
    <n v="83763"/>
    <n v="0"/>
    <x v="1"/>
    <n v="83123"/>
    <n v="84403"/>
    <n v="83417"/>
    <n v="100.4"/>
    <s v="Y"/>
    <n v="84961"/>
    <n v="0"/>
  </r>
  <r>
    <n v="95"/>
    <x v="2"/>
    <x v="3"/>
    <n v="2021.2"/>
    <x v="3"/>
    <x v="3"/>
    <n v="93880"/>
    <n v="0"/>
    <x v="0"/>
    <n v="92747"/>
    <n v="95013"/>
    <n v="95559"/>
    <n v="98.2"/>
    <s v="N"/>
    <n v="95789"/>
    <n v="0"/>
  </r>
  <r>
    <n v="96"/>
    <x v="2"/>
    <x v="3"/>
    <n v="2021.2"/>
    <x v="4"/>
    <x v="3"/>
    <n v="95459"/>
    <n v="0"/>
    <x v="1"/>
    <n v="94707"/>
    <n v="96211"/>
    <n v="95559"/>
    <n v="99.9"/>
    <s v="N"/>
    <n v="96791"/>
    <n v="0"/>
  </r>
  <r>
    <n v="97"/>
    <x v="3"/>
    <x v="0"/>
    <n v="2020.3"/>
    <x v="0"/>
    <x v="0"/>
    <n v="216"/>
    <n v="0"/>
    <x v="0"/>
    <n v="172"/>
    <n v="260"/>
    <n v="292"/>
    <n v="74"/>
    <s v="N"/>
    <n v="183"/>
    <n v="0"/>
  </r>
  <r>
    <n v="98"/>
    <x v="3"/>
    <x v="0"/>
    <n v="2020.3"/>
    <x v="1"/>
    <x v="0"/>
    <n v="259"/>
    <n v="0"/>
    <x v="1"/>
    <n v="247"/>
    <n v="271"/>
    <n v="292"/>
    <n v="88.7"/>
    <s v="N"/>
    <n v="246"/>
    <n v="0"/>
  </r>
  <r>
    <n v="99"/>
    <x v="3"/>
    <x v="0"/>
    <n v="2020.4"/>
    <x v="1"/>
    <x v="1"/>
    <n v="202"/>
    <n v="0"/>
    <x v="0"/>
    <n v="173"/>
    <n v="231"/>
    <n v="222"/>
    <n v="91"/>
    <s v="Y"/>
    <n v="174"/>
    <n v="0"/>
  </r>
  <r>
    <n v="100"/>
    <x v="3"/>
    <x v="0"/>
    <n v="2020.4"/>
    <x v="2"/>
    <x v="1"/>
    <n v="209"/>
    <n v="0"/>
    <x v="1"/>
    <n v="200"/>
    <n v="218"/>
    <n v="222"/>
    <n v="94.1"/>
    <s v="Y"/>
    <n v="199"/>
    <n v="0"/>
  </r>
  <r>
    <n v="101"/>
    <x v="3"/>
    <x v="0"/>
    <n v="2021.1"/>
    <x v="2"/>
    <x v="2"/>
    <n v="203"/>
    <n v="0"/>
    <x v="0"/>
    <n v="175"/>
    <n v="231"/>
    <n v="228"/>
    <n v="89"/>
    <s v="Y"/>
    <n v="176"/>
    <n v="0"/>
  </r>
  <r>
    <n v="102"/>
    <x v="3"/>
    <x v="0"/>
    <n v="2021.1"/>
    <x v="3"/>
    <x v="2"/>
    <n v="212"/>
    <n v="0"/>
    <x v="1"/>
    <n v="202"/>
    <n v="222"/>
    <n v="228"/>
    <n v="93"/>
    <s v="Y"/>
    <n v="202"/>
    <n v="0"/>
  </r>
  <r>
    <n v="103"/>
    <x v="3"/>
    <x v="0"/>
    <n v="2021.2"/>
    <x v="3"/>
    <x v="3"/>
    <n v="213"/>
    <n v="0"/>
    <x v="0"/>
    <n v="184"/>
    <n v="242"/>
    <n v="259"/>
    <n v="82.2"/>
    <s v="N"/>
    <n v="184"/>
    <n v="0"/>
  </r>
  <r>
    <n v="104"/>
    <x v="3"/>
    <x v="0"/>
    <n v="2021.2"/>
    <x v="4"/>
    <x v="3"/>
    <n v="234"/>
    <n v="0"/>
    <x v="1"/>
    <n v="226"/>
    <n v="242"/>
    <n v="259"/>
    <n v="90.3"/>
    <s v="N"/>
    <n v="222"/>
    <n v="0"/>
  </r>
  <r>
    <n v="105"/>
    <x v="3"/>
    <x v="1"/>
    <n v="2021.3"/>
    <x v="4"/>
    <x v="4"/>
    <n v="937"/>
    <n v="0"/>
    <x v="0"/>
    <n v="905"/>
    <n v="969"/>
    <n v="953"/>
    <n v="98.3"/>
    <s v="Y"/>
    <n v="919"/>
    <n v="0"/>
  </r>
  <r>
    <n v="106"/>
    <x v="3"/>
    <x v="1"/>
    <n v="2021.3"/>
    <x v="5"/>
    <x v="4"/>
    <n v="950"/>
    <n v="0"/>
    <x v="1"/>
    <n v="946"/>
    <n v="954"/>
    <n v="953"/>
    <n v="99.7"/>
    <s v="Y"/>
    <n v="949"/>
    <n v="0"/>
  </r>
  <r>
    <n v="107"/>
    <x v="3"/>
    <x v="1"/>
    <n v="2021.4"/>
    <x v="5"/>
    <x v="5"/>
    <n v="509"/>
    <n v="0"/>
    <x v="0"/>
    <n v="492"/>
    <n v="526"/>
    <n v="505"/>
    <n v="100.8"/>
    <s v="Y"/>
    <n v="499"/>
    <n v="0"/>
  </r>
  <r>
    <n v="108"/>
    <x v="3"/>
    <x v="1"/>
    <n v="2021.4"/>
    <x v="6"/>
    <x v="5"/>
    <n v="505"/>
    <n v="0"/>
    <x v="1"/>
    <n v="503"/>
    <n v="507"/>
    <n v="505"/>
    <n v="100"/>
    <s v="Y"/>
    <n v="504"/>
    <n v="0"/>
  </r>
  <r>
    <n v="109"/>
    <x v="3"/>
    <x v="1"/>
    <n v="2022.1"/>
    <x v="6"/>
    <x v="6"/>
    <n v="395"/>
    <n v="0"/>
    <x v="0"/>
    <n v="381"/>
    <n v="409"/>
    <n v="388"/>
    <n v="101.8"/>
    <s v="Y"/>
    <n v="388"/>
    <n v="0"/>
  </r>
  <r>
    <n v="110"/>
    <x v="3"/>
    <x v="1"/>
    <n v="2022.1"/>
    <x v="7"/>
    <x v="6"/>
    <n v="388"/>
    <n v="0"/>
    <x v="1"/>
    <n v="387"/>
    <n v="389"/>
    <n v="388"/>
    <n v="100"/>
    <s v="Y"/>
    <n v="387"/>
    <n v="0"/>
  </r>
  <r>
    <n v="111"/>
    <x v="3"/>
    <x v="1"/>
    <n v="2022.2"/>
    <x v="7"/>
    <x v="7"/>
    <n v="436"/>
    <n v="0"/>
    <x v="0"/>
    <n v="422"/>
    <n v="450"/>
    <n v="432"/>
    <n v="100.9"/>
    <s v="Y"/>
    <n v="427"/>
    <n v="0"/>
  </r>
  <r>
    <n v="112"/>
    <x v="3"/>
    <x v="1"/>
    <n v="2022.2"/>
    <x v="8"/>
    <x v="7"/>
    <n v="432"/>
    <n v="0"/>
    <x v="1"/>
    <n v="430"/>
    <n v="434"/>
    <n v="432"/>
    <n v="100"/>
    <s v="Y"/>
    <n v="431"/>
    <n v="0"/>
  </r>
  <r>
    <n v="113"/>
    <x v="3"/>
    <x v="2"/>
    <n v="2021.3"/>
    <x v="4"/>
    <x v="4"/>
    <n v="222"/>
    <n v="0"/>
    <x v="0"/>
    <n v="210"/>
    <n v="234"/>
    <n v="227"/>
    <n v="97.8"/>
    <s v="Y"/>
    <n v="207"/>
    <n v="0"/>
  </r>
  <r>
    <n v="114"/>
    <x v="3"/>
    <x v="2"/>
    <n v="2021.3"/>
    <x v="5"/>
    <x v="4"/>
    <n v="233"/>
    <n v="0"/>
    <x v="1"/>
    <n v="220"/>
    <n v="246"/>
    <n v="227"/>
    <n v="102.6"/>
    <s v="Y"/>
    <n v="225"/>
    <n v="0"/>
  </r>
  <r>
    <n v="115"/>
    <x v="3"/>
    <x v="2"/>
    <n v="2021.4"/>
    <x v="5"/>
    <x v="5"/>
    <n v="260"/>
    <n v="0"/>
    <x v="0"/>
    <n v="244"/>
    <n v="276"/>
    <n v="248"/>
    <n v="104.8"/>
    <s v="Y"/>
    <n v="243"/>
    <n v="0"/>
  </r>
  <r>
    <n v="116"/>
    <x v="3"/>
    <x v="2"/>
    <n v="2021.4"/>
    <x v="6"/>
    <x v="5"/>
    <n v="254"/>
    <n v="0"/>
    <x v="1"/>
    <n v="241"/>
    <n v="267"/>
    <n v="248"/>
    <n v="102.4"/>
    <s v="Y"/>
    <n v="245"/>
    <n v="0"/>
  </r>
  <r>
    <n v="117"/>
    <x v="3"/>
    <x v="2"/>
    <n v="2022.1"/>
    <x v="6"/>
    <x v="6"/>
    <n v="233"/>
    <n v="0"/>
    <x v="0"/>
    <n v="220"/>
    <n v="246"/>
    <n v="226"/>
    <n v="103.1"/>
    <s v="Y"/>
    <n v="218"/>
    <n v="0"/>
  </r>
  <r>
    <n v="118"/>
    <x v="3"/>
    <x v="2"/>
    <n v="2022.1"/>
    <x v="7"/>
    <x v="6"/>
    <n v="229"/>
    <n v="0"/>
    <x v="1"/>
    <n v="217"/>
    <n v="241"/>
    <n v="226"/>
    <n v="101.3"/>
    <s v="Y"/>
    <n v="222"/>
    <n v="0"/>
  </r>
  <r>
    <n v="119"/>
    <x v="3"/>
    <x v="2"/>
    <n v="2022.2"/>
    <x v="7"/>
    <x v="7"/>
    <n v="440"/>
    <n v="0"/>
    <x v="0"/>
    <n v="414"/>
    <n v="466"/>
    <n v="437"/>
    <n v="100.7"/>
    <s v="Y"/>
    <n v="414"/>
    <n v="0"/>
  </r>
  <r>
    <n v="120"/>
    <x v="3"/>
    <x v="2"/>
    <n v="2022.2"/>
    <x v="8"/>
    <x v="7"/>
    <n v="427"/>
    <n v="0"/>
    <x v="1"/>
    <n v="414"/>
    <n v="440"/>
    <n v="437"/>
    <n v="97.7"/>
    <s v="Y"/>
    <n v="418"/>
    <n v="0"/>
  </r>
  <r>
    <n v="121"/>
    <x v="3"/>
    <x v="3"/>
    <n v="2020.3"/>
    <x v="0"/>
    <x v="0"/>
    <n v="3282"/>
    <n v="0"/>
    <x v="0"/>
    <n v="3224"/>
    <n v="3340"/>
    <n v="3166"/>
    <n v="103.7"/>
    <s v="N"/>
    <n v="3362"/>
    <n v="0"/>
  </r>
  <r>
    <n v="122"/>
    <x v="3"/>
    <x v="3"/>
    <n v="2020.3"/>
    <x v="1"/>
    <x v="0"/>
    <n v="3218"/>
    <n v="0"/>
    <x v="1"/>
    <n v="3194"/>
    <n v="3242"/>
    <n v="3166"/>
    <n v="101.6"/>
    <s v="N"/>
    <n v="3257"/>
    <n v="0"/>
  </r>
  <r>
    <n v="123"/>
    <x v="3"/>
    <x v="3"/>
    <n v="2020.4"/>
    <x v="1"/>
    <x v="1"/>
    <n v="3263"/>
    <n v="0"/>
    <x v="0"/>
    <n v="3223"/>
    <n v="3303"/>
    <n v="3189"/>
    <n v="102.3"/>
    <s v="N"/>
    <n v="3334"/>
    <n v="0"/>
  </r>
  <r>
    <n v="124"/>
    <x v="3"/>
    <x v="3"/>
    <n v="2020.4"/>
    <x v="2"/>
    <x v="1"/>
    <n v="3242"/>
    <n v="0"/>
    <x v="1"/>
    <n v="3223"/>
    <n v="3261"/>
    <n v="3189"/>
    <n v="101.7"/>
    <s v="N"/>
    <n v="3267"/>
    <n v="0"/>
  </r>
  <r>
    <n v="125"/>
    <x v="3"/>
    <x v="3"/>
    <n v="2021.1"/>
    <x v="2"/>
    <x v="2"/>
    <n v="3243"/>
    <n v="0"/>
    <x v="0"/>
    <n v="3205"/>
    <n v="3281"/>
    <n v="3148"/>
    <n v="103"/>
    <s v="N"/>
    <n v="3302"/>
    <n v="0"/>
  </r>
  <r>
    <n v="126"/>
    <x v="3"/>
    <x v="3"/>
    <n v="2021.1"/>
    <x v="3"/>
    <x v="2"/>
    <n v="3199"/>
    <n v="0"/>
    <x v="1"/>
    <n v="3181"/>
    <n v="3217"/>
    <n v="3148"/>
    <n v="101.6"/>
    <s v="N"/>
    <n v="3225"/>
    <n v="0"/>
  </r>
  <r>
    <n v="127"/>
    <x v="3"/>
    <x v="3"/>
    <n v="2021.2"/>
    <x v="3"/>
    <x v="3"/>
    <n v="3305"/>
    <n v="0"/>
    <x v="0"/>
    <n v="3259"/>
    <n v="3351"/>
    <n v="3217"/>
    <n v="102.7"/>
    <s v="N"/>
    <n v="3373"/>
    <n v="0"/>
  </r>
  <r>
    <n v="128"/>
    <x v="3"/>
    <x v="3"/>
    <n v="2021.2"/>
    <x v="4"/>
    <x v="3"/>
    <n v="3276"/>
    <n v="0"/>
    <x v="1"/>
    <n v="3253"/>
    <n v="3299"/>
    <n v="3217"/>
    <n v="101.8"/>
    <s v="N"/>
    <n v="3314"/>
    <n v="0"/>
  </r>
  <r>
    <n v="129"/>
    <x v="4"/>
    <x v="0"/>
    <n v="2020.3"/>
    <x v="0"/>
    <x v="0"/>
    <n v="4938"/>
    <n v="0"/>
    <x v="0"/>
    <n v="4571"/>
    <n v="5305"/>
    <n v="4848"/>
    <n v="101.9"/>
    <s v="Y"/>
    <n v="4133"/>
    <n v="0"/>
  </r>
  <r>
    <n v="130"/>
    <x v="4"/>
    <x v="0"/>
    <n v="2020.3"/>
    <x v="1"/>
    <x v="0"/>
    <n v="4956"/>
    <n v="0"/>
    <x v="1"/>
    <n v="4764"/>
    <n v="5148"/>
    <n v="4848"/>
    <n v="102.2"/>
    <s v="Y"/>
    <n v="4582"/>
    <n v="0"/>
  </r>
  <r>
    <n v="131"/>
    <x v="4"/>
    <x v="0"/>
    <n v="2020.4"/>
    <x v="1"/>
    <x v="1"/>
    <n v="3903"/>
    <n v="0"/>
    <x v="0"/>
    <n v="3598"/>
    <n v="4208"/>
    <n v="3636"/>
    <n v="107.3"/>
    <s v="Y"/>
    <n v="3293"/>
    <n v="0"/>
  </r>
  <r>
    <n v="132"/>
    <x v="4"/>
    <x v="0"/>
    <n v="2020.4"/>
    <x v="2"/>
    <x v="1"/>
    <n v="3750"/>
    <n v="0"/>
    <x v="1"/>
    <n v="3610"/>
    <n v="3890"/>
    <n v="3636"/>
    <n v="103.1"/>
    <s v="Y"/>
    <n v="3473"/>
    <n v="0"/>
  </r>
  <r>
    <n v="133"/>
    <x v="4"/>
    <x v="0"/>
    <n v="2021.1"/>
    <x v="2"/>
    <x v="2"/>
    <n v="4171"/>
    <n v="0"/>
    <x v="0"/>
    <n v="3848"/>
    <n v="4494"/>
    <n v="3945"/>
    <n v="105.7"/>
    <s v="Y"/>
    <n v="3516"/>
    <n v="0"/>
  </r>
  <r>
    <n v="134"/>
    <x v="4"/>
    <x v="0"/>
    <n v="2021.1"/>
    <x v="3"/>
    <x v="2"/>
    <n v="4031"/>
    <n v="0"/>
    <x v="1"/>
    <n v="3937"/>
    <n v="4125"/>
    <n v="3945"/>
    <n v="102.2"/>
    <s v="Y"/>
    <n v="3751"/>
    <n v="0"/>
  </r>
  <r>
    <n v="135"/>
    <x v="4"/>
    <x v="0"/>
    <n v="2021.2"/>
    <x v="3"/>
    <x v="3"/>
    <n v="5054"/>
    <n v="0"/>
    <x v="0"/>
    <n v="4815"/>
    <n v="5293"/>
    <n v="5018"/>
    <n v="100.7"/>
    <s v="Y"/>
    <n v="4298"/>
    <n v="0"/>
  </r>
  <r>
    <n v="136"/>
    <x v="4"/>
    <x v="0"/>
    <n v="2021.2"/>
    <x v="4"/>
    <x v="3"/>
    <n v="5047"/>
    <n v="0"/>
    <x v="1"/>
    <n v="4917"/>
    <n v="5177"/>
    <n v="5018"/>
    <n v="100.6"/>
    <s v="Y"/>
    <n v="4708"/>
    <n v="0"/>
  </r>
  <r>
    <n v="137"/>
    <x v="4"/>
    <x v="1"/>
    <n v="2021.3"/>
    <x v="4"/>
    <x v="4"/>
    <n v="15018"/>
    <n v="0"/>
    <x v="0"/>
    <n v="14787"/>
    <n v="15249"/>
    <n v="15587"/>
    <n v="96.3"/>
    <s v="N"/>
    <n v="14581"/>
    <n v="0"/>
  </r>
  <r>
    <n v="138"/>
    <x v="4"/>
    <x v="1"/>
    <n v="2021.3"/>
    <x v="5"/>
    <x v="4"/>
    <n v="15552"/>
    <n v="0"/>
    <x v="1"/>
    <n v="15477"/>
    <n v="15627"/>
    <n v="15587"/>
    <n v="99.8"/>
    <s v="N"/>
    <n v="15473"/>
    <n v="0"/>
  </r>
  <r>
    <n v="139"/>
    <x v="4"/>
    <x v="1"/>
    <n v="2021.4"/>
    <x v="5"/>
    <x v="5"/>
    <n v="12784"/>
    <n v="0"/>
    <x v="0"/>
    <n v="12413"/>
    <n v="13155"/>
    <n v="13183"/>
    <n v="97"/>
    <s v="N"/>
    <n v="12363"/>
    <n v="0"/>
  </r>
  <r>
    <n v="140"/>
    <x v="4"/>
    <x v="1"/>
    <n v="2021.4"/>
    <x v="6"/>
    <x v="5"/>
    <n v="13144"/>
    <n v="0"/>
    <x v="1"/>
    <n v="13080"/>
    <n v="13208"/>
    <n v="13183"/>
    <n v="99.7"/>
    <s v="N"/>
    <n v="13079"/>
    <n v="0"/>
  </r>
  <r>
    <n v="141"/>
    <x v="4"/>
    <x v="1"/>
    <n v="2022.1"/>
    <x v="6"/>
    <x v="6"/>
    <n v="14426"/>
    <n v="0"/>
    <x v="0"/>
    <n v="13969"/>
    <n v="14883"/>
    <n v="14932"/>
    <n v="96.6"/>
    <s v="N"/>
    <n v="13968"/>
    <n v="0"/>
  </r>
  <r>
    <n v="142"/>
    <x v="4"/>
    <x v="1"/>
    <n v="2022.1"/>
    <x v="7"/>
    <x v="6"/>
    <n v="14808"/>
    <n v="0"/>
    <x v="1"/>
    <n v="14734"/>
    <n v="14882"/>
    <n v="14932"/>
    <n v="99.2"/>
    <s v="N"/>
    <n v="14731"/>
    <n v="0"/>
  </r>
  <r>
    <n v="143"/>
    <x v="4"/>
    <x v="1"/>
    <n v="2022.2"/>
    <x v="7"/>
    <x v="7"/>
    <n v="13081"/>
    <n v="0"/>
    <x v="0"/>
    <n v="12614"/>
    <n v="13548"/>
    <n v="13817"/>
    <n v="94.7"/>
    <s v="N"/>
    <n v="12638"/>
    <n v="0"/>
  </r>
  <r>
    <n v="144"/>
    <x v="4"/>
    <x v="1"/>
    <n v="2022.2"/>
    <x v="8"/>
    <x v="7"/>
    <n v="13684"/>
    <n v="0"/>
    <x v="1"/>
    <n v="13619"/>
    <n v="13749"/>
    <n v="13817"/>
    <n v="99"/>
    <s v="N"/>
    <n v="13606"/>
    <n v="0"/>
  </r>
  <r>
    <n v="145"/>
    <x v="4"/>
    <x v="2"/>
    <n v="2021.3"/>
    <x v="4"/>
    <x v="4"/>
    <n v="4639"/>
    <n v="0"/>
    <x v="0"/>
    <n v="4539"/>
    <n v="4739"/>
    <n v="4621"/>
    <n v="100.4"/>
    <s v="Y"/>
    <n v="4395"/>
    <n v="0"/>
  </r>
  <r>
    <n v="146"/>
    <x v="4"/>
    <x v="2"/>
    <n v="2021.3"/>
    <x v="5"/>
    <x v="4"/>
    <n v="4656"/>
    <n v="0"/>
    <x v="1"/>
    <n v="4625"/>
    <n v="4687"/>
    <n v="4621"/>
    <n v="100.8"/>
    <s v="Y"/>
    <n v="4567"/>
    <n v="0"/>
  </r>
  <r>
    <n v="147"/>
    <x v="4"/>
    <x v="2"/>
    <n v="2021.4"/>
    <x v="5"/>
    <x v="5"/>
    <n v="4546"/>
    <n v="0"/>
    <x v="0"/>
    <n v="4444"/>
    <n v="4648"/>
    <n v="4471"/>
    <n v="101.7"/>
    <s v="Y"/>
    <n v="4318"/>
    <n v="0"/>
  </r>
  <r>
    <n v="148"/>
    <x v="4"/>
    <x v="2"/>
    <n v="2021.4"/>
    <x v="6"/>
    <x v="5"/>
    <n v="4506"/>
    <n v="0"/>
    <x v="1"/>
    <n v="4478"/>
    <n v="4534"/>
    <n v="4471"/>
    <n v="100.8"/>
    <s v="Y"/>
    <n v="4422"/>
    <n v="0"/>
  </r>
  <r>
    <n v="149"/>
    <x v="4"/>
    <x v="2"/>
    <n v="2022.1"/>
    <x v="6"/>
    <x v="6"/>
    <n v="4895"/>
    <n v="0"/>
    <x v="0"/>
    <n v="4806"/>
    <n v="4984"/>
    <n v="4909"/>
    <n v="99.7"/>
    <s v="Y"/>
    <n v="4659"/>
    <n v="0"/>
  </r>
  <r>
    <n v="150"/>
    <x v="4"/>
    <x v="2"/>
    <n v="2022.1"/>
    <x v="7"/>
    <x v="6"/>
    <n v="4925"/>
    <n v="0"/>
    <x v="1"/>
    <n v="4895"/>
    <n v="4955"/>
    <n v="4909"/>
    <n v="100.3"/>
    <s v="Y"/>
    <n v="4836"/>
    <n v="0"/>
  </r>
  <r>
    <n v="151"/>
    <x v="4"/>
    <x v="2"/>
    <n v="2022.2"/>
    <x v="7"/>
    <x v="7"/>
    <n v="6651"/>
    <n v="0"/>
    <x v="0"/>
    <n v="6528"/>
    <n v="6774"/>
    <n v="6670"/>
    <n v="99.7"/>
    <s v="Y"/>
    <n v="6336"/>
    <n v="0"/>
  </r>
  <r>
    <n v="152"/>
    <x v="4"/>
    <x v="2"/>
    <n v="2022.2"/>
    <x v="8"/>
    <x v="7"/>
    <n v="6660"/>
    <n v="0"/>
    <x v="1"/>
    <n v="6630"/>
    <n v="6690"/>
    <n v="6670"/>
    <n v="99.9"/>
    <s v="Y"/>
    <n v="6544"/>
    <n v="0"/>
  </r>
  <r>
    <n v="153"/>
    <x v="4"/>
    <x v="3"/>
    <n v="2020.3"/>
    <x v="0"/>
    <x v="0"/>
    <n v="57381"/>
    <n v="0"/>
    <x v="0"/>
    <n v="56840"/>
    <n v="57922"/>
    <n v="58705"/>
    <n v="97.7"/>
    <s v="N"/>
    <n v="59687"/>
    <n v="0"/>
  </r>
  <r>
    <n v="154"/>
    <x v="4"/>
    <x v="3"/>
    <n v="2020.3"/>
    <x v="1"/>
    <x v="0"/>
    <n v="57798"/>
    <n v="0"/>
    <x v="1"/>
    <n v="57423"/>
    <n v="58173"/>
    <n v="58705"/>
    <n v="98.5"/>
    <s v="N"/>
    <n v="59324"/>
    <n v="0"/>
  </r>
  <r>
    <n v="155"/>
    <x v="4"/>
    <x v="3"/>
    <n v="2020.4"/>
    <x v="1"/>
    <x v="1"/>
    <n v="55502"/>
    <n v="0"/>
    <x v="0"/>
    <n v="54999"/>
    <n v="56005"/>
    <n v="57037"/>
    <n v="97.3"/>
    <s v="N"/>
    <n v="57619"/>
    <n v="0"/>
  </r>
  <r>
    <n v="156"/>
    <x v="4"/>
    <x v="3"/>
    <n v="2020.4"/>
    <x v="2"/>
    <x v="1"/>
    <n v="56194"/>
    <n v="0"/>
    <x v="1"/>
    <n v="55805"/>
    <n v="56583"/>
    <n v="57037"/>
    <n v="98.5"/>
    <s v="N"/>
    <n v="57505"/>
    <n v="0"/>
  </r>
  <r>
    <n v="157"/>
    <x v="4"/>
    <x v="3"/>
    <n v="2021.1"/>
    <x v="2"/>
    <x v="2"/>
    <n v="55601"/>
    <n v="0"/>
    <x v="0"/>
    <n v="55066"/>
    <n v="56136"/>
    <n v="56722"/>
    <n v="98"/>
    <s v="N"/>
    <n v="57443"/>
    <n v="0"/>
  </r>
  <r>
    <n v="158"/>
    <x v="4"/>
    <x v="3"/>
    <n v="2021.1"/>
    <x v="3"/>
    <x v="2"/>
    <n v="56166"/>
    <n v="0"/>
    <x v="1"/>
    <n v="55813"/>
    <n v="56519"/>
    <n v="56722"/>
    <n v="99"/>
    <s v="N"/>
    <n v="57145"/>
    <n v="0"/>
  </r>
  <r>
    <n v="159"/>
    <x v="4"/>
    <x v="3"/>
    <n v="2021.2"/>
    <x v="3"/>
    <x v="3"/>
    <n v="63627"/>
    <n v="0"/>
    <x v="0"/>
    <n v="63122"/>
    <n v="64132"/>
    <n v="64784"/>
    <n v="98.2"/>
    <s v="N"/>
    <n v="65023"/>
    <n v="0"/>
  </r>
  <r>
    <n v="160"/>
    <x v="4"/>
    <x v="3"/>
    <n v="2021.2"/>
    <x v="4"/>
    <x v="3"/>
    <n v="64456"/>
    <n v="0"/>
    <x v="1"/>
    <n v="64045"/>
    <n v="64867"/>
    <n v="64784"/>
    <n v="99.5"/>
    <s v="N"/>
    <n v="65292"/>
    <n v="0"/>
  </r>
  <r>
    <n v="161"/>
    <x v="5"/>
    <x v="0"/>
    <n v="2020.3"/>
    <x v="0"/>
    <x v="0"/>
    <n v="830"/>
    <n v="0"/>
    <x v="0"/>
    <n v="709"/>
    <n v="951"/>
    <n v="866"/>
    <n v="95.8"/>
    <s v="Y"/>
    <n v="652"/>
    <n v="0"/>
  </r>
  <r>
    <n v="162"/>
    <x v="5"/>
    <x v="0"/>
    <n v="2020.3"/>
    <x v="1"/>
    <x v="0"/>
    <n v="862"/>
    <n v="0"/>
    <x v="1"/>
    <n v="785"/>
    <n v="939"/>
    <n v="866"/>
    <n v="99.5"/>
    <s v="Y"/>
    <n v="761"/>
    <n v="0"/>
  </r>
  <r>
    <n v="163"/>
    <x v="5"/>
    <x v="0"/>
    <n v="2020.4"/>
    <x v="1"/>
    <x v="1"/>
    <n v="769"/>
    <n v="0"/>
    <x v="0"/>
    <n v="657"/>
    <n v="881"/>
    <n v="713"/>
    <n v="107.9"/>
    <s v="Y"/>
    <n v="612"/>
    <n v="0"/>
  </r>
  <r>
    <n v="164"/>
    <x v="5"/>
    <x v="0"/>
    <n v="2020.4"/>
    <x v="2"/>
    <x v="1"/>
    <n v="753"/>
    <n v="0"/>
    <x v="1"/>
    <n v="689"/>
    <n v="817"/>
    <n v="713"/>
    <n v="105.6"/>
    <s v="Y"/>
    <n v="664"/>
    <n v="0"/>
  </r>
  <r>
    <n v="165"/>
    <x v="5"/>
    <x v="0"/>
    <n v="2021.1"/>
    <x v="2"/>
    <x v="2"/>
    <n v="814"/>
    <n v="0"/>
    <x v="0"/>
    <n v="707"/>
    <n v="921"/>
    <n v="798"/>
    <n v="102"/>
    <s v="Y"/>
    <n v="650"/>
    <n v="0"/>
  </r>
  <r>
    <n v="166"/>
    <x v="5"/>
    <x v="0"/>
    <n v="2021.1"/>
    <x v="3"/>
    <x v="2"/>
    <n v="778"/>
    <n v="0"/>
    <x v="1"/>
    <n v="730"/>
    <n v="826"/>
    <n v="798"/>
    <n v="97.5"/>
    <s v="Y"/>
    <n v="692"/>
    <n v="0"/>
  </r>
  <r>
    <n v="167"/>
    <x v="5"/>
    <x v="0"/>
    <n v="2021.2"/>
    <x v="3"/>
    <x v="3"/>
    <n v="934"/>
    <n v="0"/>
    <x v="0"/>
    <n v="867"/>
    <n v="1001"/>
    <n v="1000"/>
    <n v="93.4"/>
    <s v="Y"/>
    <n v="758"/>
    <n v="0"/>
  </r>
  <r>
    <n v="168"/>
    <x v="5"/>
    <x v="0"/>
    <n v="2021.2"/>
    <x v="4"/>
    <x v="3"/>
    <n v="1007"/>
    <n v="0"/>
    <x v="1"/>
    <n v="936"/>
    <n v="1078"/>
    <n v="1000"/>
    <n v="100.7"/>
    <s v="Y"/>
    <n v="895"/>
    <n v="0"/>
  </r>
  <r>
    <n v="169"/>
    <x v="5"/>
    <x v="1"/>
    <n v="2021.3"/>
    <x v="4"/>
    <x v="4"/>
    <n v="4229"/>
    <n v="0"/>
    <x v="0"/>
    <n v="4073"/>
    <n v="4385"/>
    <n v="4369"/>
    <n v="96.8"/>
    <s v="Y"/>
    <n v="4098"/>
    <n v="0"/>
  </r>
  <r>
    <n v="170"/>
    <x v="5"/>
    <x v="1"/>
    <n v="2021.3"/>
    <x v="5"/>
    <x v="4"/>
    <n v="4344"/>
    <n v="0"/>
    <x v="1"/>
    <n v="4311"/>
    <n v="4377"/>
    <n v="4369"/>
    <n v="99.4"/>
    <s v="Y"/>
    <n v="4324"/>
    <n v="0"/>
  </r>
  <r>
    <n v="171"/>
    <x v="5"/>
    <x v="1"/>
    <n v="2021.4"/>
    <x v="5"/>
    <x v="5"/>
    <n v="3083"/>
    <n v="0"/>
    <x v="0"/>
    <n v="2973"/>
    <n v="3193"/>
    <n v="3296"/>
    <n v="93.5"/>
    <s v="N"/>
    <n v="2994"/>
    <n v="0"/>
  </r>
  <r>
    <n v="172"/>
    <x v="5"/>
    <x v="1"/>
    <n v="2021.4"/>
    <x v="6"/>
    <x v="5"/>
    <n v="3276"/>
    <n v="0"/>
    <x v="1"/>
    <n v="3256"/>
    <n v="3296"/>
    <n v="3296"/>
    <n v="99.4"/>
    <s v="N"/>
    <n v="3264"/>
    <n v="0"/>
  </r>
  <r>
    <n v="173"/>
    <x v="5"/>
    <x v="1"/>
    <n v="2022.1"/>
    <x v="6"/>
    <x v="6"/>
    <n v="3679"/>
    <n v="0"/>
    <x v="0"/>
    <n v="3623"/>
    <n v="3735"/>
    <n v="3913"/>
    <n v="94"/>
    <s v="N"/>
    <n v="3590"/>
    <n v="0"/>
  </r>
  <r>
    <n v="174"/>
    <x v="5"/>
    <x v="1"/>
    <n v="2022.1"/>
    <x v="7"/>
    <x v="6"/>
    <n v="3903"/>
    <n v="0"/>
    <x v="1"/>
    <n v="3854"/>
    <n v="3952"/>
    <n v="3913"/>
    <n v="99.7"/>
    <s v="N"/>
    <n v="3883"/>
    <n v="0"/>
  </r>
  <r>
    <n v="175"/>
    <x v="5"/>
    <x v="1"/>
    <n v="2022.2"/>
    <x v="7"/>
    <x v="7"/>
    <n v="3466"/>
    <n v="0"/>
    <x v="0"/>
    <n v="3257"/>
    <n v="3675"/>
    <n v="3614"/>
    <n v="95.9"/>
    <s v="Y"/>
    <n v="3355"/>
    <n v="0"/>
  </r>
  <r>
    <n v="176"/>
    <x v="5"/>
    <x v="1"/>
    <n v="2022.2"/>
    <x v="8"/>
    <x v="7"/>
    <n v="3565"/>
    <n v="0"/>
    <x v="1"/>
    <n v="3517"/>
    <n v="3613"/>
    <n v="3614"/>
    <n v="98.6"/>
    <s v="Y"/>
    <n v="3545"/>
    <n v="0"/>
  </r>
  <r>
    <n v="177"/>
    <x v="5"/>
    <x v="2"/>
    <n v="2021.3"/>
    <x v="4"/>
    <x v="4"/>
    <n v="1365"/>
    <n v="0"/>
    <x v="0"/>
    <n v="1314"/>
    <n v="1416"/>
    <n v="1318"/>
    <n v="103.6"/>
    <s v="Y"/>
    <n v="1189"/>
    <n v="0"/>
  </r>
  <r>
    <n v="178"/>
    <x v="5"/>
    <x v="2"/>
    <n v="2021.3"/>
    <x v="5"/>
    <x v="4"/>
    <n v="1354"/>
    <n v="0"/>
    <x v="1"/>
    <n v="1284"/>
    <n v="1424"/>
    <n v="1318"/>
    <n v="102.7"/>
    <s v="Y"/>
    <n v="1262"/>
    <n v="0"/>
  </r>
  <r>
    <n v="179"/>
    <x v="5"/>
    <x v="2"/>
    <n v="2021.4"/>
    <x v="5"/>
    <x v="5"/>
    <n v="1329"/>
    <n v="0"/>
    <x v="0"/>
    <n v="1237"/>
    <n v="1421"/>
    <n v="1285"/>
    <n v="103.4"/>
    <s v="Y"/>
    <n v="1165"/>
    <n v="0"/>
  </r>
  <r>
    <n v="180"/>
    <x v="5"/>
    <x v="2"/>
    <n v="2021.4"/>
    <x v="6"/>
    <x v="5"/>
    <n v="1321"/>
    <n v="0"/>
    <x v="1"/>
    <n v="1267"/>
    <n v="1375"/>
    <n v="1285"/>
    <n v="102.8"/>
    <s v="Y"/>
    <n v="1234"/>
    <n v="0"/>
  </r>
  <r>
    <n v="181"/>
    <x v="5"/>
    <x v="2"/>
    <n v="2022.1"/>
    <x v="6"/>
    <x v="6"/>
    <n v="1358"/>
    <n v="0"/>
    <x v="0"/>
    <n v="1276"/>
    <n v="1440"/>
    <n v="1312"/>
    <n v="103.5"/>
    <s v="Y"/>
    <n v="1192"/>
    <n v="0"/>
  </r>
  <r>
    <n v="182"/>
    <x v="5"/>
    <x v="2"/>
    <n v="2022.1"/>
    <x v="7"/>
    <x v="6"/>
    <n v="1360"/>
    <n v="0"/>
    <x v="1"/>
    <n v="1300"/>
    <n v="1420"/>
    <n v="1312"/>
    <n v="103.7"/>
    <s v="Y"/>
    <n v="1272"/>
    <n v="0"/>
  </r>
  <r>
    <n v="183"/>
    <x v="5"/>
    <x v="2"/>
    <n v="2022.2"/>
    <x v="7"/>
    <x v="7"/>
    <n v="1828"/>
    <n v="0"/>
    <x v="0"/>
    <n v="1703"/>
    <n v="1953"/>
    <n v="1798"/>
    <n v="101.7"/>
    <s v="Y"/>
    <n v="1598"/>
    <n v="0"/>
  </r>
  <r>
    <n v="184"/>
    <x v="5"/>
    <x v="2"/>
    <n v="2022.2"/>
    <x v="8"/>
    <x v="7"/>
    <n v="1822"/>
    <n v="0"/>
    <x v="1"/>
    <n v="1730"/>
    <n v="1914"/>
    <n v="1798"/>
    <n v="101.3"/>
    <s v="Y"/>
    <n v="1704"/>
    <n v="0"/>
  </r>
  <r>
    <n v="185"/>
    <x v="5"/>
    <x v="3"/>
    <n v="2020.3"/>
    <x v="0"/>
    <x v="0"/>
    <n v="18182"/>
    <n v="0"/>
    <x v="0"/>
    <n v="17945"/>
    <n v="18419"/>
    <n v="17813"/>
    <n v="102.1"/>
    <s v="N"/>
    <n v="18447"/>
    <n v="0"/>
  </r>
  <r>
    <n v="186"/>
    <x v="5"/>
    <x v="3"/>
    <n v="2020.3"/>
    <x v="1"/>
    <x v="0"/>
    <n v="18029"/>
    <n v="0"/>
    <x v="1"/>
    <n v="17866"/>
    <n v="18192"/>
    <n v="17813"/>
    <n v="101.2"/>
    <s v="N"/>
    <n v="18218"/>
    <n v="0"/>
  </r>
  <r>
    <n v="187"/>
    <x v="5"/>
    <x v="3"/>
    <n v="2020.4"/>
    <x v="1"/>
    <x v="1"/>
    <n v="18047"/>
    <n v="0"/>
    <x v="0"/>
    <n v="17829"/>
    <n v="18265"/>
    <n v="17891"/>
    <n v="100.9"/>
    <s v="Y"/>
    <n v="18348"/>
    <n v="0"/>
  </r>
  <r>
    <n v="188"/>
    <x v="5"/>
    <x v="3"/>
    <n v="2020.4"/>
    <x v="2"/>
    <x v="1"/>
    <n v="18043"/>
    <n v="0"/>
    <x v="1"/>
    <n v="17903"/>
    <n v="18183"/>
    <n v="17891"/>
    <n v="100.8"/>
    <s v="Y"/>
    <n v="18210"/>
    <n v="0"/>
  </r>
  <r>
    <n v="189"/>
    <x v="5"/>
    <x v="3"/>
    <n v="2021.1"/>
    <x v="2"/>
    <x v="2"/>
    <n v="18581"/>
    <n v="0"/>
    <x v="0"/>
    <n v="18378"/>
    <n v="18784"/>
    <n v="18355"/>
    <n v="101.2"/>
    <s v="N"/>
    <n v="18831"/>
    <n v="0"/>
  </r>
  <r>
    <n v="190"/>
    <x v="5"/>
    <x v="3"/>
    <n v="2021.1"/>
    <x v="3"/>
    <x v="2"/>
    <n v="18614"/>
    <n v="0"/>
    <x v="1"/>
    <n v="18503"/>
    <n v="18725"/>
    <n v="18355"/>
    <n v="101.4"/>
    <s v="N"/>
    <n v="18744"/>
    <n v="0"/>
  </r>
  <r>
    <n v="191"/>
    <x v="5"/>
    <x v="3"/>
    <n v="2021.2"/>
    <x v="3"/>
    <x v="3"/>
    <n v="20894"/>
    <n v="0"/>
    <x v="0"/>
    <n v="20691"/>
    <n v="21097"/>
    <n v="20752"/>
    <n v="100.7"/>
    <s v="Y"/>
    <n v="21064"/>
    <n v="0"/>
  </r>
  <r>
    <n v="192"/>
    <x v="5"/>
    <x v="3"/>
    <n v="2021.2"/>
    <x v="4"/>
    <x v="3"/>
    <n v="20898"/>
    <n v="0"/>
    <x v="1"/>
    <n v="20762"/>
    <n v="21034"/>
    <n v="20752"/>
    <n v="100.7"/>
    <s v="Y"/>
    <n v="21065"/>
    <n v="0"/>
  </r>
  <r>
    <n v="193"/>
    <x v="6"/>
    <x v="0"/>
    <n v="2020.3"/>
    <x v="0"/>
    <x v="0"/>
    <n v="573"/>
    <n v="0"/>
    <x v="0"/>
    <n v="512"/>
    <n v="634"/>
    <n v="585"/>
    <n v="97.9"/>
    <s v="Y"/>
    <n v="499"/>
    <n v="0"/>
  </r>
  <r>
    <n v="194"/>
    <x v="6"/>
    <x v="0"/>
    <n v="2020.3"/>
    <x v="1"/>
    <x v="0"/>
    <n v="595"/>
    <n v="0"/>
    <x v="1"/>
    <n v="557"/>
    <n v="633"/>
    <n v="585"/>
    <n v="101.7"/>
    <s v="Y"/>
    <n v="560"/>
    <n v="0"/>
  </r>
  <r>
    <n v="195"/>
    <x v="6"/>
    <x v="0"/>
    <n v="2020.4"/>
    <x v="1"/>
    <x v="1"/>
    <n v="368"/>
    <n v="0"/>
    <x v="0"/>
    <n v="329"/>
    <n v="407"/>
    <n v="383"/>
    <n v="96.1"/>
    <s v="Y"/>
    <n v="325"/>
    <n v="0"/>
  </r>
  <r>
    <n v="196"/>
    <x v="6"/>
    <x v="0"/>
    <n v="2020.4"/>
    <x v="2"/>
    <x v="1"/>
    <n v="369"/>
    <n v="0"/>
    <x v="1"/>
    <n v="348"/>
    <n v="390"/>
    <n v="383"/>
    <n v="96.3"/>
    <s v="Y"/>
    <n v="348"/>
    <n v="0"/>
  </r>
  <r>
    <n v="197"/>
    <x v="6"/>
    <x v="0"/>
    <n v="2021.1"/>
    <x v="2"/>
    <x v="2"/>
    <n v="435"/>
    <n v="0"/>
    <x v="0"/>
    <n v="388"/>
    <n v="482"/>
    <n v="478"/>
    <n v="91"/>
    <s v="Y"/>
    <n v="384"/>
    <n v="0"/>
  </r>
  <r>
    <n v="198"/>
    <x v="6"/>
    <x v="0"/>
    <n v="2021.1"/>
    <x v="3"/>
    <x v="2"/>
    <n v="447"/>
    <n v="0"/>
    <x v="1"/>
    <n v="428"/>
    <n v="466"/>
    <n v="478"/>
    <n v="93.5"/>
    <s v="Y"/>
    <n v="422"/>
    <n v="0"/>
  </r>
  <r>
    <n v="199"/>
    <x v="6"/>
    <x v="0"/>
    <n v="2021.2"/>
    <x v="3"/>
    <x v="3"/>
    <n v="495"/>
    <n v="0"/>
    <x v="0"/>
    <n v="420"/>
    <n v="570"/>
    <n v="597"/>
    <n v="82.9"/>
    <s v="N"/>
    <n v="433"/>
    <n v="0"/>
  </r>
  <r>
    <n v="200"/>
    <x v="6"/>
    <x v="0"/>
    <n v="2021.2"/>
    <x v="4"/>
    <x v="3"/>
    <n v="567"/>
    <n v="0"/>
    <x v="1"/>
    <n v="542"/>
    <n v="592"/>
    <n v="597"/>
    <n v="95"/>
    <s v="N"/>
    <n v="535"/>
    <n v="0"/>
  </r>
  <r>
    <n v="201"/>
    <x v="6"/>
    <x v="1"/>
    <n v="2021.3"/>
    <x v="4"/>
    <x v="4"/>
    <n v="2034"/>
    <n v="0"/>
    <x v="0"/>
    <n v="1952"/>
    <n v="2116"/>
    <n v="2040"/>
    <n v="99.7"/>
    <s v="Y"/>
    <n v="2017"/>
    <n v="0"/>
  </r>
  <r>
    <n v="202"/>
    <x v="6"/>
    <x v="1"/>
    <n v="2021.3"/>
    <x v="5"/>
    <x v="4"/>
    <n v="2039"/>
    <n v="0"/>
    <x v="1"/>
    <n v="2022"/>
    <n v="2056"/>
    <n v="2040"/>
    <n v="100"/>
    <s v="Y"/>
    <n v="2035"/>
    <n v="0"/>
  </r>
  <r>
    <n v="203"/>
    <x v="6"/>
    <x v="1"/>
    <n v="2021.4"/>
    <x v="5"/>
    <x v="5"/>
    <n v="1781"/>
    <n v="0"/>
    <x v="0"/>
    <n v="1709"/>
    <n v="1853"/>
    <n v="1794"/>
    <n v="99.3"/>
    <s v="Y"/>
    <n v="1766"/>
    <n v="0"/>
  </r>
  <r>
    <n v="204"/>
    <x v="6"/>
    <x v="1"/>
    <n v="2021.4"/>
    <x v="6"/>
    <x v="5"/>
    <n v="1792"/>
    <n v="0"/>
    <x v="1"/>
    <n v="1789"/>
    <n v="1795"/>
    <n v="1794"/>
    <n v="99.9"/>
    <s v="Y"/>
    <n v="1790"/>
    <n v="0"/>
  </r>
  <r>
    <n v="205"/>
    <x v="6"/>
    <x v="1"/>
    <n v="2022.1"/>
    <x v="6"/>
    <x v="6"/>
    <n v="1840"/>
    <n v="0"/>
    <x v="0"/>
    <n v="1826"/>
    <n v="1854"/>
    <n v="1850"/>
    <n v="99.5"/>
    <s v="Y"/>
    <n v="1835"/>
    <n v="0"/>
  </r>
  <r>
    <n v="206"/>
    <x v="6"/>
    <x v="1"/>
    <n v="2022.1"/>
    <x v="7"/>
    <x v="6"/>
    <n v="1848"/>
    <n v="0"/>
    <x v="1"/>
    <n v="1845"/>
    <n v="1851"/>
    <n v="1850"/>
    <n v="99.9"/>
    <s v="Y"/>
    <n v="1846"/>
    <n v="0"/>
  </r>
  <r>
    <n v="207"/>
    <x v="6"/>
    <x v="1"/>
    <n v="2022.2"/>
    <x v="7"/>
    <x v="7"/>
    <n v="1729"/>
    <n v="0"/>
    <x v="0"/>
    <n v="1699"/>
    <n v="1759"/>
    <n v="1746"/>
    <n v="99"/>
    <s v="Y"/>
    <n v="1721"/>
    <n v="0"/>
  </r>
  <r>
    <n v="208"/>
    <x v="6"/>
    <x v="1"/>
    <n v="2022.2"/>
    <x v="8"/>
    <x v="7"/>
    <n v="1739"/>
    <n v="0"/>
    <x v="1"/>
    <n v="1736"/>
    <n v="1742"/>
    <n v="1746"/>
    <n v="99.6"/>
    <s v="Y"/>
    <n v="1736"/>
    <n v="0"/>
  </r>
  <r>
    <n v="209"/>
    <x v="6"/>
    <x v="2"/>
    <n v="2021.3"/>
    <x v="4"/>
    <x v="4"/>
    <n v="681"/>
    <n v="0"/>
    <x v="0"/>
    <n v="622"/>
    <n v="740"/>
    <n v="664"/>
    <n v="102.6"/>
    <s v="Y"/>
    <n v="649"/>
    <n v="0"/>
  </r>
  <r>
    <n v="210"/>
    <x v="6"/>
    <x v="2"/>
    <n v="2021.3"/>
    <x v="5"/>
    <x v="4"/>
    <n v="672"/>
    <n v="0"/>
    <x v="1"/>
    <n v="633"/>
    <n v="711"/>
    <n v="664"/>
    <n v="101.2"/>
    <s v="Y"/>
    <n v="659"/>
    <n v="0"/>
  </r>
  <r>
    <n v="211"/>
    <x v="6"/>
    <x v="2"/>
    <n v="2021.4"/>
    <x v="5"/>
    <x v="5"/>
    <n v="768"/>
    <n v="0"/>
    <x v="0"/>
    <n v="697"/>
    <n v="839"/>
    <n v="745"/>
    <n v="103.1"/>
    <s v="Y"/>
    <n v="732"/>
    <n v="0"/>
  </r>
  <r>
    <n v="212"/>
    <x v="6"/>
    <x v="2"/>
    <n v="2021.4"/>
    <x v="6"/>
    <x v="5"/>
    <n v="757"/>
    <n v="0"/>
    <x v="1"/>
    <n v="714"/>
    <n v="800"/>
    <n v="745"/>
    <n v="101.6"/>
    <s v="Y"/>
    <n v="742"/>
    <n v="0"/>
  </r>
  <r>
    <n v="213"/>
    <x v="6"/>
    <x v="2"/>
    <n v="2022.1"/>
    <x v="6"/>
    <x v="6"/>
    <n v="795"/>
    <n v="0"/>
    <x v="0"/>
    <n v="741"/>
    <n v="849"/>
    <n v="776"/>
    <n v="102.4"/>
    <s v="Y"/>
    <n v="767"/>
    <n v="0"/>
  </r>
  <r>
    <n v="214"/>
    <x v="6"/>
    <x v="2"/>
    <n v="2022.1"/>
    <x v="7"/>
    <x v="6"/>
    <n v="780"/>
    <n v="0"/>
    <x v="1"/>
    <n v="753"/>
    <n v="807"/>
    <n v="776"/>
    <n v="100.5"/>
    <s v="Y"/>
    <n v="770"/>
    <n v="0"/>
  </r>
  <r>
    <n v="215"/>
    <x v="6"/>
    <x v="2"/>
    <n v="2022.2"/>
    <x v="7"/>
    <x v="7"/>
    <n v="1146"/>
    <n v="0"/>
    <x v="0"/>
    <n v="1078"/>
    <n v="1214"/>
    <n v="1132"/>
    <n v="101.2"/>
    <s v="Y"/>
    <n v="1113"/>
    <n v="0"/>
  </r>
  <r>
    <n v="216"/>
    <x v="6"/>
    <x v="2"/>
    <n v="2022.2"/>
    <x v="8"/>
    <x v="7"/>
    <n v="1129"/>
    <n v="0"/>
    <x v="1"/>
    <n v="1113"/>
    <n v="1145"/>
    <n v="1132"/>
    <n v="99.7"/>
    <s v="Y"/>
    <n v="1120"/>
    <n v="0"/>
  </r>
  <r>
    <n v="217"/>
    <x v="6"/>
    <x v="3"/>
    <n v="2020.3"/>
    <x v="0"/>
    <x v="0"/>
    <n v="9111"/>
    <n v="0"/>
    <x v="0"/>
    <n v="8976"/>
    <n v="9246"/>
    <n v="8948"/>
    <n v="101.8"/>
    <s v="N"/>
    <n v="9101"/>
    <n v="0"/>
  </r>
  <r>
    <n v="218"/>
    <x v="6"/>
    <x v="3"/>
    <n v="2020.3"/>
    <x v="1"/>
    <x v="0"/>
    <n v="9095"/>
    <n v="0"/>
    <x v="1"/>
    <n v="9005"/>
    <n v="9185"/>
    <n v="8948"/>
    <n v="101.6"/>
    <s v="N"/>
    <n v="9006"/>
    <n v="0"/>
  </r>
  <r>
    <n v="219"/>
    <x v="6"/>
    <x v="3"/>
    <n v="2020.4"/>
    <x v="1"/>
    <x v="1"/>
    <n v="8932"/>
    <n v="0"/>
    <x v="0"/>
    <n v="8818"/>
    <n v="9046"/>
    <n v="8748"/>
    <n v="102.1"/>
    <s v="N"/>
    <n v="8853"/>
    <n v="0"/>
  </r>
  <r>
    <n v="220"/>
    <x v="6"/>
    <x v="3"/>
    <n v="2020.4"/>
    <x v="2"/>
    <x v="1"/>
    <n v="8940"/>
    <n v="0"/>
    <x v="1"/>
    <n v="8850"/>
    <n v="9030"/>
    <n v="8748"/>
    <n v="102.2"/>
    <s v="N"/>
    <n v="8804"/>
    <n v="0"/>
  </r>
  <r>
    <n v="221"/>
    <x v="6"/>
    <x v="3"/>
    <n v="2021.1"/>
    <x v="2"/>
    <x v="2"/>
    <n v="9116"/>
    <n v="0"/>
    <x v="0"/>
    <n v="8988"/>
    <n v="9244"/>
    <n v="8926"/>
    <n v="102.1"/>
    <s v="N"/>
    <n v="9053"/>
    <n v="0"/>
  </r>
  <r>
    <n v="222"/>
    <x v="6"/>
    <x v="3"/>
    <n v="2021.1"/>
    <x v="3"/>
    <x v="2"/>
    <n v="9049"/>
    <n v="0"/>
    <x v="1"/>
    <n v="8949"/>
    <n v="9149"/>
    <n v="8926"/>
    <n v="101.4"/>
    <s v="N"/>
    <n v="8987"/>
    <n v="0"/>
  </r>
  <r>
    <n v="223"/>
    <x v="6"/>
    <x v="3"/>
    <n v="2021.2"/>
    <x v="3"/>
    <x v="3"/>
    <n v="9888"/>
    <n v="0"/>
    <x v="0"/>
    <n v="9715"/>
    <n v="10061"/>
    <n v="9750"/>
    <n v="101.4"/>
    <s v="Y"/>
    <n v="9917"/>
    <n v="0"/>
  </r>
  <r>
    <n v="224"/>
    <x v="6"/>
    <x v="3"/>
    <n v="2021.2"/>
    <x v="4"/>
    <x v="3"/>
    <n v="9796"/>
    <n v="0"/>
    <x v="1"/>
    <n v="9659"/>
    <n v="9933"/>
    <n v="9750"/>
    <n v="100.5"/>
    <s v="Y"/>
    <n v="9850"/>
    <n v="0"/>
  </r>
  <r>
    <n v="225"/>
    <x v="7"/>
    <x v="0"/>
    <n v="2020.3"/>
    <x v="0"/>
    <x v="0"/>
    <n v="4646"/>
    <n v="0"/>
    <x v="0"/>
    <n v="4167"/>
    <n v="5125"/>
    <n v="5114"/>
    <n v="90.8"/>
    <s v="Y"/>
    <n v="3545"/>
    <n v="0"/>
  </r>
  <r>
    <n v="226"/>
    <x v="7"/>
    <x v="0"/>
    <n v="2020.3"/>
    <x v="1"/>
    <x v="0"/>
    <n v="4940"/>
    <n v="0"/>
    <x v="1"/>
    <n v="4567"/>
    <n v="5313"/>
    <n v="5114"/>
    <n v="96.6"/>
    <s v="Y"/>
    <n v="4320"/>
    <n v="0"/>
  </r>
  <r>
    <n v="227"/>
    <x v="7"/>
    <x v="0"/>
    <n v="2020.4"/>
    <x v="1"/>
    <x v="1"/>
    <n v="2995"/>
    <n v="0"/>
    <x v="0"/>
    <n v="2657"/>
    <n v="3333"/>
    <n v="3219"/>
    <n v="93"/>
    <s v="Y"/>
    <n v="2315"/>
    <n v="0"/>
  </r>
  <r>
    <n v="228"/>
    <x v="7"/>
    <x v="0"/>
    <n v="2020.4"/>
    <x v="2"/>
    <x v="1"/>
    <n v="3133"/>
    <n v="0"/>
    <x v="1"/>
    <n v="2994"/>
    <n v="3272"/>
    <n v="3219"/>
    <n v="97.3"/>
    <s v="Y"/>
    <n v="2761"/>
    <n v="0"/>
  </r>
  <r>
    <n v="229"/>
    <x v="7"/>
    <x v="0"/>
    <n v="2021.1"/>
    <x v="2"/>
    <x v="2"/>
    <n v="2984"/>
    <n v="0"/>
    <x v="0"/>
    <n v="2686"/>
    <n v="3282"/>
    <n v="3039"/>
    <n v="98.2"/>
    <s v="Y"/>
    <n v="2327"/>
    <n v="0"/>
  </r>
  <r>
    <n v="230"/>
    <x v="7"/>
    <x v="0"/>
    <n v="2021.1"/>
    <x v="3"/>
    <x v="2"/>
    <n v="2956"/>
    <n v="0"/>
    <x v="1"/>
    <n v="2868"/>
    <n v="3044"/>
    <n v="3039"/>
    <n v="97.3"/>
    <s v="Y"/>
    <n v="2617"/>
    <n v="0"/>
  </r>
  <r>
    <n v="231"/>
    <x v="7"/>
    <x v="0"/>
    <n v="2021.2"/>
    <x v="3"/>
    <x v="3"/>
    <n v="3582"/>
    <n v="0"/>
    <x v="0"/>
    <n v="3362"/>
    <n v="3802"/>
    <n v="4330"/>
    <n v="82.7"/>
    <s v="N"/>
    <n v="2815"/>
    <n v="0"/>
  </r>
  <r>
    <n v="232"/>
    <x v="7"/>
    <x v="0"/>
    <n v="2021.2"/>
    <x v="4"/>
    <x v="3"/>
    <n v="3891"/>
    <n v="0"/>
    <x v="1"/>
    <n v="3717"/>
    <n v="4065"/>
    <n v="4330"/>
    <n v="89.9"/>
    <s v="N"/>
    <n v="3468"/>
    <n v="0"/>
  </r>
  <r>
    <n v="233"/>
    <x v="7"/>
    <x v="1"/>
    <n v="2021.3"/>
    <x v="4"/>
    <x v="4"/>
    <n v="14389"/>
    <n v="0"/>
    <x v="0"/>
    <n v="14199"/>
    <n v="14579"/>
    <n v="14700"/>
    <n v="97.9"/>
    <s v="N"/>
    <n v="14299"/>
    <n v="0"/>
  </r>
  <r>
    <n v="234"/>
    <x v="7"/>
    <x v="1"/>
    <n v="2021.3"/>
    <x v="5"/>
    <x v="4"/>
    <n v="14658"/>
    <n v="0"/>
    <x v="1"/>
    <n v="14576"/>
    <n v="14740"/>
    <n v="14700"/>
    <n v="99.7"/>
    <s v="N"/>
    <n v="14629"/>
    <n v="0"/>
  </r>
  <r>
    <n v="235"/>
    <x v="7"/>
    <x v="1"/>
    <n v="2021.4"/>
    <x v="5"/>
    <x v="5"/>
    <n v="9717"/>
    <n v="0"/>
    <x v="0"/>
    <n v="9336"/>
    <n v="10098"/>
    <n v="9899"/>
    <n v="98.2"/>
    <s v="Y"/>
    <n v="9605"/>
    <n v="0"/>
  </r>
  <r>
    <n v="236"/>
    <x v="7"/>
    <x v="1"/>
    <n v="2021.4"/>
    <x v="6"/>
    <x v="5"/>
    <n v="9865"/>
    <n v="0"/>
    <x v="1"/>
    <n v="9809"/>
    <n v="9921"/>
    <n v="9899"/>
    <n v="99.7"/>
    <s v="Y"/>
    <n v="9844"/>
    <n v="0"/>
  </r>
  <r>
    <n v="237"/>
    <x v="7"/>
    <x v="1"/>
    <n v="2022.1"/>
    <x v="6"/>
    <x v="6"/>
    <n v="9562"/>
    <n v="0"/>
    <x v="0"/>
    <n v="9193"/>
    <n v="9931"/>
    <n v="9796"/>
    <n v="97.6"/>
    <s v="Y"/>
    <n v="9445"/>
    <n v="0"/>
  </r>
  <r>
    <n v="238"/>
    <x v="7"/>
    <x v="1"/>
    <n v="2022.1"/>
    <x v="7"/>
    <x v="6"/>
    <n v="9762"/>
    <n v="0"/>
    <x v="1"/>
    <n v="9711"/>
    <n v="9813"/>
    <n v="9796"/>
    <n v="99.7"/>
    <s v="Y"/>
    <n v="9739"/>
    <n v="0"/>
  </r>
  <r>
    <n v="239"/>
    <x v="7"/>
    <x v="1"/>
    <n v="2022.2"/>
    <x v="7"/>
    <x v="7"/>
    <n v="10249"/>
    <n v="0"/>
    <x v="0"/>
    <n v="9865"/>
    <n v="10633"/>
    <n v="10412"/>
    <n v="98.4"/>
    <s v="Y"/>
    <n v="10106"/>
    <n v="0"/>
  </r>
  <r>
    <n v="240"/>
    <x v="7"/>
    <x v="1"/>
    <n v="2022.2"/>
    <x v="8"/>
    <x v="7"/>
    <n v="10342"/>
    <n v="0"/>
    <x v="1"/>
    <n v="10285"/>
    <n v="10399"/>
    <n v="10412"/>
    <n v="99.3"/>
    <s v="Y"/>
    <n v="10313"/>
    <n v="0"/>
  </r>
  <r>
    <n v="241"/>
    <x v="7"/>
    <x v="2"/>
    <n v="2021.3"/>
    <x v="4"/>
    <x v="4"/>
    <n v="3932"/>
    <n v="0"/>
    <x v="0"/>
    <n v="3823"/>
    <n v="4041"/>
    <n v="3987"/>
    <n v="98.6"/>
    <s v="Y"/>
    <n v="3707"/>
    <n v="0"/>
  </r>
  <r>
    <n v="242"/>
    <x v="7"/>
    <x v="2"/>
    <n v="2021.3"/>
    <x v="5"/>
    <x v="4"/>
    <n v="4015"/>
    <n v="0"/>
    <x v="1"/>
    <n v="3970"/>
    <n v="4060"/>
    <n v="3987"/>
    <n v="100.7"/>
    <s v="Y"/>
    <n v="3907"/>
    <n v="0"/>
  </r>
  <r>
    <n v="243"/>
    <x v="7"/>
    <x v="2"/>
    <n v="2021.4"/>
    <x v="5"/>
    <x v="5"/>
    <n v="3174"/>
    <n v="0"/>
    <x v="0"/>
    <n v="3081"/>
    <n v="3267"/>
    <n v="3247"/>
    <n v="97.8"/>
    <s v="Y"/>
    <n v="2984"/>
    <n v="0"/>
  </r>
  <r>
    <n v="244"/>
    <x v="7"/>
    <x v="2"/>
    <n v="2021.4"/>
    <x v="6"/>
    <x v="5"/>
    <n v="3234"/>
    <n v="0"/>
    <x v="1"/>
    <n v="3201"/>
    <n v="3267"/>
    <n v="3247"/>
    <n v="99.6"/>
    <s v="Y"/>
    <n v="3146"/>
    <n v="0"/>
  </r>
  <r>
    <n v="245"/>
    <x v="7"/>
    <x v="2"/>
    <n v="2022.1"/>
    <x v="6"/>
    <x v="6"/>
    <n v="3287"/>
    <n v="0"/>
    <x v="0"/>
    <n v="3188"/>
    <n v="3386"/>
    <n v="3339"/>
    <n v="98.4"/>
    <s v="Y"/>
    <n v="3089"/>
    <n v="0"/>
  </r>
  <r>
    <n v="246"/>
    <x v="7"/>
    <x v="2"/>
    <n v="2022.1"/>
    <x v="7"/>
    <x v="6"/>
    <n v="3330"/>
    <n v="0"/>
    <x v="1"/>
    <n v="3303"/>
    <n v="3357"/>
    <n v="3339"/>
    <n v="99.7"/>
    <s v="Y"/>
    <n v="3235"/>
    <n v="0"/>
  </r>
  <r>
    <n v="247"/>
    <x v="7"/>
    <x v="2"/>
    <n v="2022.2"/>
    <x v="7"/>
    <x v="7"/>
    <n v="6397"/>
    <n v="0"/>
    <x v="0"/>
    <n v="6239"/>
    <n v="6555"/>
    <n v="6420"/>
    <n v="99.6"/>
    <s v="Y"/>
    <n v="5990"/>
    <n v="0"/>
  </r>
  <r>
    <n v="248"/>
    <x v="7"/>
    <x v="2"/>
    <n v="2022.2"/>
    <x v="8"/>
    <x v="7"/>
    <n v="6459"/>
    <n v="0"/>
    <x v="1"/>
    <n v="6337"/>
    <n v="6581"/>
    <n v="6420"/>
    <n v="100.6"/>
    <s v="Y"/>
    <n v="6250"/>
    <n v="0"/>
  </r>
  <r>
    <n v="249"/>
    <x v="7"/>
    <x v="3"/>
    <n v="2020.3"/>
    <x v="0"/>
    <x v="0"/>
    <n v="63261"/>
    <n v="0"/>
    <x v="0"/>
    <n v="62372"/>
    <n v="64150"/>
    <n v="62349"/>
    <n v="101.5"/>
    <s v="N"/>
    <n v="64567"/>
    <n v="0"/>
  </r>
  <r>
    <n v="250"/>
    <x v="7"/>
    <x v="3"/>
    <n v="2020.3"/>
    <x v="1"/>
    <x v="0"/>
    <n v="63214"/>
    <n v="0"/>
    <x v="1"/>
    <n v="62603"/>
    <n v="63825"/>
    <n v="62349"/>
    <n v="101.4"/>
    <s v="N"/>
    <n v="64173"/>
    <n v="0"/>
  </r>
  <r>
    <n v="251"/>
    <x v="7"/>
    <x v="3"/>
    <n v="2020.4"/>
    <x v="1"/>
    <x v="1"/>
    <n v="61671"/>
    <n v="0"/>
    <x v="0"/>
    <n v="60933"/>
    <n v="62409"/>
    <n v="60679"/>
    <n v="101.6"/>
    <s v="N"/>
    <n v="63139"/>
    <n v="0"/>
  </r>
  <r>
    <n v="252"/>
    <x v="7"/>
    <x v="3"/>
    <n v="2020.4"/>
    <x v="2"/>
    <x v="1"/>
    <n v="61753"/>
    <n v="0"/>
    <x v="1"/>
    <n v="61286"/>
    <n v="62220"/>
    <n v="60679"/>
    <n v="101.8"/>
    <s v="N"/>
    <n v="62295"/>
    <n v="0"/>
  </r>
  <r>
    <n v="253"/>
    <x v="7"/>
    <x v="3"/>
    <n v="2021.1"/>
    <x v="2"/>
    <x v="2"/>
    <n v="59712"/>
    <n v="0"/>
    <x v="0"/>
    <n v="59132"/>
    <n v="60292"/>
    <n v="58355"/>
    <n v="102.3"/>
    <s v="N"/>
    <n v="60584"/>
    <n v="0"/>
  </r>
  <r>
    <n v="254"/>
    <x v="7"/>
    <x v="3"/>
    <n v="2021.1"/>
    <x v="3"/>
    <x v="2"/>
    <n v="59723"/>
    <n v="0"/>
    <x v="1"/>
    <n v="59330"/>
    <n v="60116"/>
    <n v="58355"/>
    <n v="102.3"/>
    <s v="N"/>
    <n v="59971"/>
    <n v="0"/>
  </r>
  <r>
    <n v="255"/>
    <x v="7"/>
    <x v="3"/>
    <n v="2021.2"/>
    <x v="3"/>
    <x v="3"/>
    <n v="67647"/>
    <n v="0"/>
    <x v="0"/>
    <n v="67147"/>
    <n v="68147"/>
    <n v="65637"/>
    <n v="103.1"/>
    <s v="N"/>
    <n v="68370"/>
    <n v="0"/>
  </r>
  <r>
    <n v="256"/>
    <x v="7"/>
    <x v="3"/>
    <n v="2021.2"/>
    <x v="4"/>
    <x v="3"/>
    <n v="67311"/>
    <n v="0"/>
    <x v="1"/>
    <n v="66905"/>
    <n v="67717"/>
    <n v="65637"/>
    <n v="102.6"/>
    <s v="N"/>
    <n v="67483"/>
    <n v="0"/>
  </r>
  <r>
    <n v="257"/>
    <x v="8"/>
    <x v="0"/>
    <n v="2020.3"/>
    <x v="0"/>
    <x v="0"/>
    <n v="1846"/>
    <n v="0"/>
    <x v="0"/>
    <n v="1840"/>
    <n v="1852"/>
    <n v="1845"/>
    <n v="100.1"/>
    <s v="Y"/>
    <n v="1844"/>
    <n v="0"/>
  </r>
  <r>
    <n v="258"/>
    <x v="8"/>
    <x v="0"/>
    <n v="2020.3"/>
    <x v="1"/>
    <x v="0"/>
    <n v="1845"/>
    <n v="0"/>
    <x v="1"/>
    <n v="1842"/>
    <n v="1848"/>
    <n v="1845"/>
    <n v="100"/>
    <s v="Y"/>
    <n v="1844"/>
    <n v="0"/>
  </r>
  <r>
    <n v="259"/>
    <x v="8"/>
    <x v="0"/>
    <n v="2020.4"/>
    <x v="1"/>
    <x v="1"/>
    <n v="1495"/>
    <n v="0"/>
    <x v="0"/>
    <n v="1490"/>
    <n v="1500"/>
    <n v="1494"/>
    <n v="100.1"/>
    <s v="Y"/>
    <n v="1494"/>
    <n v="0"/>
  </r>
  <r>
    <n v="260"/>
    <x v="8"/>
    <x v="0"/>
    <n v="2020.4"/>
    <x v="2"/>
    <x v="1"/>
    <n v="1495"/>
    <n v="0"/>
    <x v="1"/>
    <n v="1491"/>
    <n v="1499"/>
    <n v="1494"/>
    <n v="100.1"/>
    <s v="Y"/>
    <n v="1494"/>
    <n v="0"/>
  </r>
  <r>
    <n v="261"/>
    <x v="8"/>
    <x v="0"/>
    <n v="2021.1"/>
    <x v="2"/>
    <x v="2"/>
    <n v="1888"/>
    <n v="0"/>
    <x v="0"/>
    <n v="1882"/>
    <n v="1894"/>
    <n v="1886"/>
    <n v="100.1"/>
    <s v="Y"/>
    <n v="1886"/>
    <n v="0"/>
  </r>
  <r>
    <n v="262"/>
    <x v="8"/>
    <x v="0"/>
    <n v="2021.1"/>
    <x v="3"/>
    <x v="2"/>
    <n v="1887"/>
    <n v="0"/>
    <x v="1"/>
    <n v="1882"/>
    <n v="1892"/>
    <n v="1886"/>
    <n v="100.1"/>
    <s v="Y"/>
    <n v="1886"/>
    <n v="0"/>
  </r>
  <r>
    <n v="263"/>
    <x v="8"/>
    <x v="0"/>
    <n v="2021.2"/>
    <x v="3"/>
    <x v="3"/>
    <n v="1933"/>
    <n v="0"/>
    <x v="0"/>
    <n v="1927"/>
    <n v="1939"/>
    <n v="1931"/>
    <n v="100.1"/>
    <s v="Y"/>
    <n v="1931"/>
    <n v="0"/>
  </r>
  <r>
    <n v="264"/>
    <x v="8"/>
    <x v="0"/>
    <n v="2021.2"/>
    <x v="4"/>
    <x v="3"/>
    <n v="1907"/>
    <n v="0"/>
    <x v="1"/>
    <n v="1831"/>
    <n v="1983"/>
    <n v="1931"/>
    <n v="98.8"/>
    <s v="Y"/>
    <n v="1903"/>
    <n v="0"/>
  </r>
  <r>
    <n v="265"/>
    <x v="8"/>
    <x v="1"/>
    <n v="2021.3"/>
    <x v="4"/>
    <x v="4"/>
    <n v="8376"/>
    <n v="0"/>
    <x v="0"/>
    <n v="8116"/>
    <n v="8636"/>
    <n v="8365"/>
    <n v="100.1"/>
    <s v="Y"/>
    <n v="8333"/>
    <n v="0"/>
  </r>
  <r>
    <n v="266"/>
    <x v="8"/>
    <x v="1"/>
    <n v="2021.3"/>
    <x v="5"/>
    <x v="4"/>
    <n v="8364"/>
    <n v="0"/>
    <x v="1"/>
    <n v="8339"/>
    <n v="8389"/>
    <n v="8365"/>
    <n v="100"/>
    <s v="Y"/>
    <n v="8364"/>
    <n v="0"/>
  </r>
  <r>
    <n v="267"/>
    <x v="8"/>
    <x v="1"/>
    <n v="2021.4"/>
    <x v="5"/>
    <x v="5"/>
    <n v="6226"/>
    <n v="0"/>
    <x v="0"/>
    <n v="6038"/>
    <n v="6414"/>
    <n v="6207"/>
    <n v="100.3"/>
    <s v="Y"/>
    <n v="6192"/>
    <n v="0"/>
  </r>
  <r>
    <n v="268"/>
    <x v="8"/>
    <x v="1"/>
    <n v="2021.4"/>
    <x v="6"/>
    <x v="5"/>
    <n v="6204"/>
    <n v="0"/>
    <x v="1"/>
    <n v="6185"/>
    <n v="6223"/>
    <n v="6207"/>
    <n v="100"/>
    <s v="Y"/>
    <n v="6204"/>
    <n v="0"/>
  </r>
  <r>
    <n v="269"/>
    <x v="8"/>
    <x v="1"/>
    <n v="2022.1"/>
    <x v="6"/>
    <x v="6"/>
    <n v="6798"/>
    <n v="0"/>
    <x v="0"/>
    <n v="6592"/>
    <n v="7004"/>
    <n v="6812"/>
    <n v="99.8"/>
    <s v="Y"/>
    <n v="6770"/>
    <n v="0"/>
  </r>
  <r>
    <n v="270"/>
    <x v="8"/>
    <x v="1"/>
    <n v="2022.1"/>
    <x v="7"/>
    <x v="6"/>
    <n v="6812"/>
    <n v="0"/>
    <x v="1"/>
    <n v="6790"/>
    <n v="6834"/>
    <n v="6812"/>
    <n v="100"/>
    <s v="Y"/>
    <n v="6812"/>
    <n v="0"/>
  </r>
  <r>
    <n v="271"/>
    <x v="8"/>
    <x v="1"/>
    <n v="2022.2"/>
    <x v="7"/>
    <x v="7"/>
    <n v="6466"/>
    <n v="0"/>
    <x v="0"/>
    <n v="6417"/>
    <n v="6515"/>
    <n v="6510"/>
    <n v="99.3"/>
    <s v="Y"/>
    <n v="6460"/>
    <n v="0"/>
  </r>
  <r>
    <n v="272"/>
    <x v="8"/>
    <x v="1"/>
    <n v="2022.2"/>
    <x v="8"/>
    <x v="7"/>
    <n v="6475"/>
    <n v="0"/>
    <x v="1"/>
    <n v="6454"/>
    <n v="6496"/>
    <n v="6510"/>
    <n v="99.5"/>
    <s v="Y"/>
    <n v="6475"/>
    <n v="0"/>
  </r>
  <r>
    <n v="273"/>
    <x v="8"/>
    <x v="2"/>
    <n v="2021.3"/>
    <x v="4"/>
    <x v="4"/>
    <n v="2033"/>
    <n v="0"/>
    <x v="0"/>
    <n v="1997"/>
    <n v="2069"/>
    <n v="2021"/>
    <n v="100.6"/>
    <s v="Y"/>
    <n v="2012"/>
    <n v="0"/>
  </r>
  <r>
    <n v="274"/>
    <x v="8"/>
    <x v="2"/>
    <n v="2021.3"/>
    <x v="5"/>
    <x v="4"/>
    <n v="2024"/>
    <n v="0"/>
    <x v="1"/>
    <n v="2018"/>
    <n v="2030"/>
    <n v="2021"/>
    <n v="100.1"/>
    <s v="Y"/>
    <n v="2019"/>
    <n v="0"/>
  </r>
  <r>
    <n v="275"/>
    <x v="8"/>
    <x v="2"/>
    <n v="2021.4"/>
    <x v="5"/>
    <x v="5"/>
    <n v="2112"/>
    <n v="0"/>
    <x v="0"/>
    <n v="2078"/>
    <n v="2146"/>
    <n v="2102"/>
    <n v="100.5"/>
    <s v="Y"/>
    <n v="2092"/>
    <n v="0"/>
  </r>
  <r>
    <n v="276"/>
    <x v="8"/>
    <x v="2"/>
    <n v="2021.4"/>
    <x v="6"/>
    <x v="5"/>
    <n v="2101"/>
    <n v="0"/>
    <x v="1"/>
    <n v="2097"/>
    <n v="2105"/>
    <n v="2102"/>
    <n v="100"/>
    <s v="Y"/>
    <n v="2097"/>
    <n v="0"/>
  </r>
  <r>
    <n v="277"/>
    <x v="8"/>
    <x v="2"/>
    <n v="2022.1"/>
    <x v="6"/>
    <x v="6"/>
    <n v="2535"/>
    <n v="0"/>
    <x v="0"/>
    <n v="2512"/>
    <n v="2558"/>
    <n v="2546"/>
    <n v="99.6"/>
    <s v="Y"/>
    <n v="2515"/>
    <n v="0"/>
  </r>
  <r>
    <n v="278"/>
    <x v="8"/>
    <x v="2"/>
    <n v="2022.1"/>
    <x v="7"/>
    <x v="6"/>
    <n v="2544"/>
    <n v="0"/>
    <x v="1"/>
    <n v="2539"/>
    <n v="2549"/>
    <n v="2546"/>
    <n v="99.9"/>
    <s v="Y"/>
    <n v="2539"/>
    <n v="0"/>
  </r>
  <r>
    <n v="279"/>
    <x v="8"/>
    <x v="2"/>
    <n v="2022.2"/>
    <x v="7"/>
    <x v="7"/>
    <n v="3055"/>
    <n v="0"/>
    <x v="0"/>
    <n v="3025"/>
    <n v="3085"/>
    <n v="3068"/>
    <n v="99.6"/>
    <s v="Y"/>
    <n v="3034"/>
    <n v="0"/>
  </r>
  <r>
    <n v="280"/>
    <x v="8"/>
    <x v="2"/>
    <n v="2022.2"/>
    <x v="8"/>
    <x v="7"/>
    <n v="3067"/>
    <n v="0"/>
    <x v="1"/>
    <n v="3061"/>
    <n v="3073"/>
    <n v="3068"/>
    <n v="100"/>
    <s v="Y"/>
    <n v="3062"/>
    <n v="0"/>
  </r>
  <r>
    <n v="281"/>
    <x v="8"/>
    <x v="3"/>
    <n v="2020.3"/>
    <x v="0"/>
    <x v="0"/>
    <n v="28827"/>
    <n v="0"/>
    <x v="0"/>
    <n v="28330"/>
    <n v="29324"/>
    <n v="28827"/>
    <n v="100"/>
    <s v="Y"/>
    <n v="28847"/>
    <n v="0"/>
  </r>
  <r>
    <n v="282"/>
    <x v="8"/>
    <x v="3"/>
    <n v="2020.3"/>
    <x v="1"/>
    <x v="0"/>
    <n v="28841"/>
    <n v="0"/>
    <x v="1"/>
    <n v="28412"/>
    <n v="29270"/>
    <n v="28827"/>
    <n v="100"/>
    <s v="Y"/>
    <n v="28835"/>
    <n v="0"/>
  </r>
  <r>
    <n v="283"/>
    <x v="8"/>
    <x v="3"/>
    <n v="2020.4"/>
    <x v="1"/>
    <x v="1"/>
    <n v="28300"/>
    <n v="0"/>
    <x v="0"/>
    <n v="27853"/>
    <n v="28747"/>
    <n v="28260"/>
    <n v="100.1"/>
    <s v="Y"/>
    <n v="28289"/>
    <n v="0"/>
  </r>
  <r>
    <n v="284"/>
    <x v="8"/>
    <x v="3"/>
    <n v="2020.4"/>
    <x v="2"/>
    <x v="1"/>
    <n v="28343"/>
    <n v="0"/>
    <x v="1"/>
    <n v="27960"/>
    <n v="28726"/>
    <n v="28260"/>
    <n v="100.3"/>
    <s v="Y"/>
    <n v="28277"/>
    <n v="0"/>
  </r>
  <r>
    <n v="285"/>
    <x v="8"/>
    <x v="3"/>
    <n v="2021.1"/>
    <x v="2"/>
    <x v="2"/>
    <n v="28333"/>
    <n v="0"/>
    <x v="0"/>
    <n v="27921"/>
    <n v="28745"/>
    <n v="28215"/>
    <n v="100.4"/>
    <s v="Y"/>
    <n v="28258"/>
    <n v="0"/>
  </r>
  <r>
    <n v="286"/>
    <x v="8"/>
    <x v="3"/>
    <n v="2021.1"/>
    <x v="3"/>
    <x v="2"/>
    <n v="28164"/>
    <n v="0"/>
    <x v="1"/>
    <n v="27990"/>
    <n v="28338"/>
    <n v="28215"/>
    <n v="99.8"/>
    <s v="Y"/>
    <n v="28233"/>
    <n v="0"/>
  </r>
  <r>
    <n v="287"/>
    <x v="8"/>
    <x v="3"/>
    <n v="2021.2"/>
    <x v="3"/>
    <x v="3"/>
    <n v="32300"/>
    <n v="0"/>
    <x v="0"/>
    <n v="31982"/>
    <n v="32618"/>
    <n v="32380"/>
    <n v="99.8"/>
    <s v="Y"/>
    <n v="32336"/>
    <n v="0"/>
  </r>
  <r>
    <n v="288"/>
    <x v="8"/>
    <x v="3"/>
    <n v="2021.2"/>
    <x v="4"/>
    <x v="3"/>
    <n v="32352"/>
    <n v="0"/>
    <x v="1"/>
    <n v="32128"/>
    <n v="32576"/>
    <n v="32380"/>
    <n v="99.9"/>
    <s v="Y"/>
    <n v="32394"/>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3" cacheId="0"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chartFormat="8" rowHeaderCaption="Review quarters">
  <location ref="F9:I13" firstHeaderRow="0" firstDataRow="1" firstDataCol="1"/>
  <pivotFields count="23">
    <pivotField numFmtId="3" showAll="0"/>
    <pivotField showAll="0">
      <items count="10">
        <item x="0"/>
        <item h="1" x="1"/>
        <item h="1" x="2"/>
        <item h="1" x="3"/>
        <item h="1" x="4"/>
        <item h="1" x="5"/>
        <item h="1" x="6"/>
        <item h="1" x="7"/>
        <item h="1" x="8"/>
        <item t="default"/>
      </items>
    </pivotField>
    <pivotField showAll="0">
      <items count="9">
        <item h="1" m="1" x="4"/>
        <item h="1" m="1" x="6"/>
        <item h="1" x="0"/>
        <item x="1"/>
        <item h="1" x="2"/>
        <item h="1" m="1" x="7"/>
        <item h="1" x="3"/>
        <item h="1" m="1" x="5"/>
        <item t="default"/>
      </items>
    </pivotField>
    <pivotField showAll="0"/>
    <pivotField showAll="0"/>
    <pivotField axis="axisRow" numFmtId="169" showAll="0" defaultSubtotal="0">
      <items count="31">
        <item h="1" m="1" x="8"/>
        <item h="1" m="1" x="25"/>
        <item h="1" m="1" x="19"/>
        <item h="1" m="1" x="14"/>
        <item h="1" m="1" x="9"/>
        <item h="1" m="1" x="26"/>
        <item h="1" m="1" x="20"/>
        <item h="1" m="1" x="15"/>
        <item h="1" m="1" x="10"/>
        <item h="1" m="1" x="27"/>
        <item h="1" m="1" x="21"/>
        <item h="1" m="1" x="16"/>
        <item h="1" m="1" x="11"/>
        <item h="1" m="1" x="28"/>
        <item h="1" m="1" x="22"/>
        <item h="1" m="1" x="17"/>
        <item h="1" m="1" x="12"/>
        <item h="1" m="1" x="29"/>
        <item h="1" m="1" x="23"/>
        <item h="1" m="1" x="18"/>
        <item h="1" m="1" x="13"/>
        <item h="1" m="1" x="30"/>
        <item h="1" m="1" x="24"/>
        <item h="1" x="0"/>
        <item h="1" x="1"/>
        <item h="1" x="2"/>
        <item h="1" x="3"/>
        <item x="4"/>
        <item x="5"/>
        <item x="6"/>
        <item x="7"/>
      </items>
    </pivotField>
    <pivotField dataField="1" showAll="0"/>
    <pivotField showAll="0" defaultSubtotal="0"/>
    <pivotField showAll="0">
      <items count="4">
        <item x="1"/>
        <item h="1" m="1" x="2"/>
        <item h="1" x="0"/>
        <item t="default"/>
      </items>
    </pivotField>
    <pivotField showAll="0"/>
    <pivotField showAll="0"/>
    <pivotField dataField="1" showAll="0"/>
    <pivotField showAll="0"/>
    <pivotField showAll="0"/>
    <pivotField dataField="1"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27"/>
    </i>
    <i>
      <x v="28"/>
    </i>
    <i>
      <x v="29"/>
    </i>
    <i>
      <x v="30"/>
    </i>
  </rowItems>
  <colFields count="1">
    <field x="-2"/>
  </colFields>
  <colItems count="3">
    <i>
      <x/>
    </i>
    <i i="1">
      <x v="1"/>
    </i>
    <i i="2">
      <x v="2"/>
    </i>
  </colItems>
  <dataFields count="3">
    <dataField name="Collected count from STAs" fld="14" baseField="5" baseItem="6"/>
    <dataField name="NCVER published estimate " fld="6" baseField="3" baseItem="0" numFmtId="3"/>
    <dataField name="Final count" fld="11" baseField="3" baseItem="0" numFmtId="3"/>
  </dataFields>
  <formats count="15">
    <format dxfId="54">
      <pivotArea dataOnly="0" labelOnly="1" fieldPosition="0">
        <references count="1">
          <reference field="5" count="1">
            <x v="0"/>
          </reference>
        </references>
      </pivotArea>
    </format>
    <format dxfId="53">
      <pivotArea field="5" type="button" dataOnly="0" labelOnly="1" outline="0" axis="axisRow" fieldPosition="0"/>
    </format>
    <format dxfId="52">
      <pivotArea dataOnly="0" labelOnly="1" outline="0" fieldPosition="0">
        <references count="1">
          <reference field="4294967294" count="2">
            <x v="1"/>
            <x v="2"/>
          </reference>
        </references>
      </pivotArea>
    </format>
    <format dxfId="51">
      <pivotArea field="5" type="button" dataOnly="0" labelOnly="1" outline="0" axis="axisRow" fieldPosition="0"/>
    </format>
    <format dxfId="50">
      <pivotArea dataOnly="0" labelOnly="1" outline="0" fieldPosition="0">
        <references count="1">
          <reference field="4294967294" count="2">
            <x v="1"/>
            <x v="2"/>
          </reference>
        </references>
      </pivotArea>
    </format>
    <format dxfId="49">
      <pivotArea field="5" type="button" dataOnly="0" labelOnly="1" outline="0" axis="axisRow" fieldPosition="0"/>
    </format>
    <format dxfId="48">
      <pivotArea dataOnly="0" labelOnly="1" outline="0" fieldPosition="0">
        <references count="1">
          <reference field="4294967294" count="2">
            <x v="1"/>
            <x v="2"/>
          </reference>
        </references>
      </pivotArea>
    </format>
    <format dxfId="47">
      <pivotArea collapsedLevelsAreSubtotals="1" fieldPosition="0">
        <references count="1">
          <reference field="5" count="1">
            <x v="8"/>
          </reference>
        </references>
      </pivotArea>
    </format>
    <format dxfId="46">
      <pivotArea outline="0" collapsedLevelsAreSubtotals="1" fieldPosition="0"/>
    </format>
    <format dxfId="45">
      <pivotArea dataOnly="0" labelOnly="1" fieldPosition="0">
        <references count="1">
          <reference field="5" count="0"/>
        </references>
      </pivotArea>
    </format>
    <format dxfId="44">
      <pivotArea field="5" type="button" dataOnly="0" labelOnly="1" outline="0" axis="axisRow" fieldPosition="0"/>
    </format>
    <format dxfId="43">
      <pivotArea dataOnly="0" labelOnly="1" outline="0" fieldPosition="0">
        <references count="1">
          <reference field="4294967294" count="1">
            <x v="0"/>
          </reference>
        </references>
      </pivotArea>
    </format>
    <format dxfId="42">
      <pivotArea dataOnly="0" labelOnly="1" outline="0" fieldPosition="0">
        <references count="1">
          <reference field="4294967294" count="1">
            <x v="0"/>
          </reference>
        </references>
      </pivotArea>
    </format>
    <format dxfId="41">
      <pivotArea field="5" type="button" dataOnly="0" labelOnly="1" outline="0" axis="axisRow" fieldPosition="0"/>
    </format>
    <format dxfId="40">
      <pivotArea dataOnly="0" labelOnly="1" outline="0" fieldPosition="0">
        <references count="1">
          <reference field="4294967294" count="3">
            <x v="0"/>
            <x v="1"/>
            <x v="2"/>
          </reference>
        </references>
      </pivotArea>
    </format>
  </formats>
  <chartFormats count="2">
    <chartFormat chart="1" format="0" series="1">
      <pivotArea type="data" outline="0" fieldPosition="0">
        <references count="1">
          <reference field="4294967294" count="1" selected="0">
            <x v="1"/>
          </reference>
        </references>
      </pivotArea>
    </chartFormat>
    <chartFormat chart="1" format="1"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4000000}" name="PivotTable6" cacheId="0" applyNumberFormats="0" applyBorderFormats="0" applyFontFormats="0" applyPatternFormats="0" applyAlignmentFormats="0" applyWidthHeightFormats="1" dataCaption="Values" updatedVersion="8" minRefreshableVersion="3" useAutoFormatting="1" rowGrandTotals="0" itemPrintTitles="1" createdVersion="4" indent="0" outline="1" outlineData="1" multipleFieldFilters="0" rowHeaderCaption="Review quarters">
  <location ref="V9:X13" firstHeaderRow="0" firstDataRow="1" firstDataCol="1"/>
  <pivotFields count="23">
    <pivotField numFmtId="3" showAll="0"/>
    <pivotField showAll="0">
      <items count="10">
        <item x="0"/>
        <item h="1" x="1"/>
        <item h="1" x="2"/>
        <item h="1" x="3"/>
        <item h="1" x="4"/>
        <item h="1" x="5"/>
        <item h="1" x="6"/>
        <item h="1" x="7"/>
        <item h="1" x="8"/>
        <item t="default"/>
      </items>
    </pivotField>
    <pivotField showAll="0">
      <items count="9">
        <item h="1" m="1" x="4"/>
        <item h="1" m="1" x="6"/>
        <item h="1" x="0"/>
        <item x="1"/>
        <item h="1" x="2"/>
        <item h="1" m="1" x="7"/>
        <item h="1" x="3"/>
        <item h="1" m="1" x="5"/>
        <item t="default"/>
      </items>
    </pivotField>
    <pivotField showAll="0"/>
    <pivotField showAll="0"/>
    <pivotField axis="axisRow" numFmtId="169" showAll="0" defaultSubtotal="0">
      <items count="31">
        <item h="1" m="1" x="8"/>
        <item h="1" m="1" x="25"/>
        <item h="1" m="1" x="19"/>
        <item h="1" m="1" x="14"/>
        <item h="1" m="1" x="9"/>
        <item h="1" m="1" x="26"/>
        <item h="1" m="1" x="20"/>
        <item h="1" m="1" x="15"/>
        <item h="1" m="1" x="10"/>
        <item h="1" m="1" x="27"/>
        <item h="1" m="1" x="21"/>
        <item h="1" m="1" x="16"/>
        <item h="1" m="1" x="11"/>
        <item h="1" m="1" x="28"/>
        <item h="1" m="1" x="22"/>
        <item h="1" m="1" x="17"/>
        <item h="1" m="1" x="12"/>
        <item h="1" m="1" x="29"/>
        <item h="1" m="1" x="23"/>
        <item h="1" m="1" x="18"/>
        <item h="1" m="1" x="13"/>
        <item h="1" m="1" x="30"/>
        <item h="1" m="1" x="24"/>
        <item h="1" x="0"/>
        <item h="1" x="1"/>
        <item h="1" x="2"/>
        <item h="1" x="3"/>
        <item x="4"/>
        <item x="5"/>
        <item x="6"/>
        <item x="7"/>
      </items>
    </pivotField>
    <pivotField dataField="1" showAll="0"/>
    <pivotField dataField="1" showAll="0"/>
    <pivotField showAll="0">
      <items count="4">
        <item x="1"/>
        <item h="1" m="1" x="2"/>
        <item h="1" x="0"/>
        <item t="default"/>
      </items>
    </pivotField>
    <pivotField showAll="0"/>
    <pivotField showAll="0"/>
    <pivotField showAll="0"/>
    <pivotField showAll="0"/>
    <pivotField showAl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27"/>
    </i>
    <i>
      <x v="28"/>
    </i>
    <i>
      <x v="29"/>
    </i>
    <i>
      <x v="30"/>
    </i>
  </rowItems>
  <colFields count="1">
    <field x="-2"/>
  </colFields>
  <colItems count="2">
    <i>
      <x/>
    </i>
    <i i="1">
      <x v="1"/>
    </i>
  </colItems>
  <dataFields count="2">
    <dataField name="Estimate " fld="6" baseField="3" baseItem="0"/>
    <dataField name="Model " fld="7" baseField="3" baseItem="0"/>
  </dataFields>
  <formats count="6">
    <format dxfId="60">
      <pivotArea field="5" type="button" dataOnly="0" labelOnly="1" outline="0" axis="axisRow" fieldPosition="0"/>
    </format>
    <format dxfId="59">
      <pivotArea dataOnly="0" labelOnly="1" outline="0" fieldPosition="0">
        <references count="1">
          <reference field="4294967294" count="2">
            <x v="0"/>
            <x v="1"/>
          </reference>
        </references>
      </pivotArea>
    </format>
    <format dxfId="58">
      <pivotArea field="5" type="button" dataOnly="0" labelOnly="1" outline="0" axis="axisRow" fieldPosition="0"/>
    </format>
    <format dxfId="57">
      <pivotArea dataOnly="0" labelOnly="1" outline="0" fieldPosition="0">
        <references count="1">
          <reference field="4294967294" count="2">
            <x v="0"/>
            <x v="1"/>
          </reference>
        </references>
      </pivotArea>
    </format>
    <format dxfId="56">
      <pivotArea field="5" type="button" dataOnly="0" labelOnly="1" outline="0" axis="axisRow" fieldPosition="0"/>
    </format>
    <format dxfId="55">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2" cacheId="0" applyNumberFormats="0" applyBorderFormats="0" applyFontFormats="0" applyPatternFormats="0" applyAlignmentFormats="0" applyWidthHeightFormats="1" dataCaption="Values" updatedVersion="8" minRefreshableVersion="3" rowGrandTotals="0" itemPrintTitles="1" createdVersion="4" indent="0" compact="0" compactData="0" multipleFieldFilters="0" chartFormat="8" rowHeaderCaption="Review quarters">
  <location ref="A9:D13" firstHeaderRow="0" firstDataRow="1" firstDataCol="1"/>
  <pivotFields count="23">
    <pivotField compact="0" numFmtId="3" outline="0" showAll="0"/>
    <pivotField compact="0" outline="0" showAll="0">
      <items count="10">
        <item x="0"/>
        <item h="1" x="1"/>
        <item h="1" x="2"/>
        <item h="1" x="3"/>
        <item h="1" x="4"/>
        <item h="1" x="5"/>
        <item h="1" x="6"/>
        <item h="1" x="7"/>
        <item h="1" x="8"/>
        <item t="default"/>
      </items>
    </pivotField>
    <pivotField compact="0" outline="0" showAll="0">
      <items count="9">
        <item h="1" m="1" x="4"/>
        <item h="1" m="1" x="6"/>
        <item h="1" x="0"/>
        <item x="1"/>
        <item h="1" x="2"/>
        <item h="1" m="1" x="7"/>
        <item h="1" x="3"/>
        <item h="1" m="1" x="5"/>
        <item t="default"/>
      </items>
    </pivotField>
    <pivotField compact="0" outline="0" showAll="0"/>
    <pivotField compact="0" outline="0" showAll="0" defaultSubtotal="0"/>
    <pivotField name="Review quarters" axis="axisRow" compact="0" numFmtId="169" outline="0" showAll="0" defaultSubtotal="0">
      <items count="31">
        <item h="1" m="1" x="8"/>
        <item h="1" m="1" x="25"/>
        <item h="1" m="1" x="19"/>
        <item h="1" m="1" x="14"/>
        <item h="1" m="1" x="9"/>
        <item h="1" m="1" x="26"/>
        <item h="1" m="1" x="20"/>
        <item h="1" m="1" x="15"/>
        <item h="1" m="1" x="10"/>
        <item h="1" m="1" x="27"/>
        <item h="1" m="1" x="21"/>
        <item h="1" m="1" x="16"/>
        <item h="1" m="1" x="11"/>
        <item h="1" m="1" x="28"/>
        <item h="1" m="1" x="22"/>
        <item h="1" m="1" x="17"/>
        <item h="1" m="1" x="12"/>
        <item h="1" m="1" x="29"/>
        <item h="1" m="1" x="23"/>
        <item h="1" m="1" x="18"/>
        <item h="1" m="1" x="13"/>
        <item h="1" m="1" x="30"/>
        <item h="1" m="1" x="24"/>
        <item h="1" x="0"/>
        <item h="1" x="1"/>
        <item h="1" x="2"/>
        <item h="1" x="3"/>
        <item x="4"/>
        <item x="5"/>
        <item x="6"/>
        <item x="7"/>
      </items>
    </pivotField>
    <pivotField compact="0" outline="0" showAll="0"/>
    <pivotField compact="0" outline="0" showAll="0" defaultSubtotal="0"/>
    <pivotField compact="0" outline="0" showAll="0">
      <items count="4">
        <item x="1"/>
        <item h="1" m="1" x="2"/>
        <item h="1" x="0"/>
        <item t="default"/>
      </items>
    </pivotField>
    <pivotField dataField="1" compact="0" outline="0" showAll="0"/>
    <pivotField dataField="1" compact="0" outline="0" showAll="0"/>
    <pivotField dataField="1" compact="0" outline="0" showAl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5"/>
  </rowFields>
  <rowItems count="4">
    <i>
      <x v="27"/>
    </i>
    <i>
      <x v="28"/>
    </i>
    <i>
      <x v="29"/>
    </i>
    <i>
      <x v="30"/>
    </i>
  </rowItems>
  <colFields count="1">
    <field x="-2"/>
  </colFields>
  <colItems count="3">
    <i>
      <x/>
    </i>
    <i i="1">
      <x v="1"/>
    </i>
    <i i="2">
      <x v="2"/>
    </i>
  </colItems>
  <dataFields count="3">
    <dataField name="Lower boundary of prediction interval" fld="9" baseField="3" baseItem="0" numFmtId="164"/>
    <dataField name="Final count" fld="11" baseField="3" baseItem="0" numFmtId="3"/>
    <dataField name="Upper boundary of prediction interval" fld="10" baseField="3" baseItem="0" numFmtId="164"/>
  </dataFields>
  <formats count="12">
    <format dxfId="72">
      <pivotArea field="5" type="button" dataOnly="0" labelOnly="1" outline="0" axis="axisRow" fieldPosition="0"/>
    </format>
    <format dxfId="71">
      <pivotArea dataOnly="0" labelOnly="1" outline="0" fieldPosition="0">
        <references count="1">
          <reference field="5" count="8">
            <x v="0"/>
            <x v="1"/>
            <x v="2"/>
            <x v="3"/>
            <x v="4"/>
            <x v="5"/>
            <x v="6"/>
            <x v="7"/>
          </reference>
        </references>
      </pivotArea>
    </format>
    <format dxfId="70">
      <pivotArea outline="0" collapsedLevelsAreSubtotals="1" fieldPosition="0"/>
    </format>
    <format dxfId="69">
      <pivotArea dataOnly="0" labelOnly="1" outline="0" fieldPosition="0">
        <references count="1">
          <reference field="5" count="8">
            <x v="0"/>
            <x v="1"/>
            <x v="2"/>
            <x v="3"/>
            <x v="4"/>
            <x v="5"/>
            <x v="6"/>
            <x v="7"/>
          </reference>
        </references>
      </pivotArea>
    </format>
    <format dxfId="68">
      <pivotArea field="5" type="button" dataOnly="0" labelOnly="1" outline="0" axis="axisRow" fieldPosition="0"/>
    </format>
    <format dxfId="67">
      <pivotArea dataOnly="0" labelOnly="1" outline="0" fieldPosition="0">
        <references count="1">
          <reference field="4294967294" count="3">
            <x v="0"/>
            <x v="1"/>
            <x v="2"/>
          </reference>
        </references>
      </pivotArea>
    </format>
    <format dxfId="66">
      <pivotArea field="5" type="button" dataOnly="0" labelOnly="1" outline="0" axis="axisRow" fieldPosition="0"/>
    </format>
    <format dxfId="65">
      <pivotArea dataOnly="0" labelOnly="1" outline="0" fieldPosition="0">
        <references count="1">
          <reference field="4294967294" count="3">
            <x v="0"/>
            <x v="1"/>
            <x v="2"/>
          </reference>
        </references>
      </pivotArea>
    </format>
    <format dxfId="64">
      <pivotArea field="5" type="button" dataOnly="0" labelOnly="1" outline="0" axis="axisRow" fieldPosition="0"/>
    </format>
    <format dxfId="63">
      <pivotArea dataOnly="0" labelOnly="1" outline="0" fieldPosition="0">
        <references count="1">
          <reference field="4294967294" count="3">
            <x v="0"/>
            <x v="1"/>
            <x v="2"/>
          </reference>
        </references>
      </pivotArea>
    </format>
    <format dxfId="62">
      <pivotArea field="5" type="button" dataOnly="0" labelOnly="1" outline="0" axis="axisRow" fieldPosition="0"/>
    </format>
    <format dxfId="61">
      <pivotArea dataOnly="0" labelOnly="1" outline="0" fieldPosition="0">
        <references count="1">
          <reference field="4294967294" count="3">
            <x v="0"/>
            <x v="1"/>
            <x v="2"/>
          </reference>
        </references>
      </pivotArea>
    </format>
  </format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2"/>
          </reference>
        </references>
      </pivotArea>
    </chartFormat>
    <chartFormat chart="0" format="2" series="1">
      <pivotArea type="data" outline="0" fieldPosition="0">
        <references count="1">
          <reference field="4294967294" count="1" selected="0">
            <x v="1"/>
          </reference>
        </references>
      </pivotArea>
    </chartFormat>
    <chartFormat chart="5" format="6" series="1">
      <pivotArea type="data" outline="0" fieldPosition="0">
        <references count="1">
          <reference field="4294967294" count="1" selected="0">
            <x v="0"/>
          </reference>
        </references>
      </pivotArea>
    </chartFormat>
    <chartFormat chart="5" format="7" series="1">
      <pivotArea type="data" outline="0" fieldPosition="0">
        <references count="1">
          <reference field="4294967294" count="1" selected="0">
            <x v="2"/>
          </reference>
        </references>
      </pivotArea>
    </chartFormat>
    <chartFormat chart="5" format="8"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3000000}" name="PivotTable5" cacheId="0" applyNumberFormats="0" applyBorderFormats="0" applyFontFormats="0" applyPatternFormats="0" applyAlignmentFormats="0" applyWidthHeightFormats="1" dataCaption="Values" updatedVersion="8" minRefreshableVersion="3" useAutoFormatting="1" rowGrandTotals="0" colGrandTotals="0" itemPrintTitles="1" createdVersion="4" indent="0" compact="0" compactData="0" multipleFieldFilters="0" chartFormat="2">
  <location ref="P9:T15" firstHeaderRow="1" firstDataRow="3" firstDataCol="1"/>
  <pivotFields count="23">
    <pivotField compact="0" numFmtId="3" outline="0" showAll="0"/>
    <pivotField compact="0" outline="0" showAll="0">
      <items count="10">
        <item x="0"/>
        <item h="1" x="1"/>
        <item h="1" x="2"/>
        <item h="1" x="3"/>
        <item h="1" x="4"/>
        <item h="1" x="5"/>
        <item h="1" x="6"/>
        <item h="1" x="7"/>
        <item h="1" x="8"/>
        <item t="default"/>
      </items>
    </pivotField>
    <pivotField compact="0" outline="0" showAll="0">
      <items count="9">
        <item h="1" m="1" x="4"/>
        <item h="1" m="1" x="6"/>
        <item h="1" x="0"/>
        <item x="1"/>
        <item h="1" x="2"/>
        <item h="1" m="1" x="7"/>
        <item h="1" x="3"/>
        <item h="1" m="1" x="5"/>
        <item t="default"/>
      </items>
    </pivotField>
    <pivotField name="Review quarters" compact="0" outline="0" showAll="0"/>
    <pivotField compact="0" outline="0" showAll="0"/>
    <pivotField name="Review quarter" axis="axisRow" compact="0" numFmtId="169" outline="0" showAll="0" defaultSubtotal="0">
      <items count="31">
        <item h="1" m="1" x="8"/>
        <item h="1" m="1" x="25"/>
        <item h="1" m="1" x="19"/>
        <item h="1" m="1" x="14"/>
        <item h="1" m="1" x="9"/>
        <item h="1" m="1" x="26"/>
        <item h="1" m="1" x="20"/>
        <item h="1" m="1" x="15"/>
        <item h="1" m="1" x="10"/>
        <item h="1" m="1" x="27"/>
        <item h="1" m="1" x="21"/>
        <item h="1" m="1" x="16"/>
        <item h="1" m="1" x="11"/>
        <item h="1" m="1" x="28"/>
        <item h="1" m="1" x="22"/>
        <item h="1" m="1" x="17"/>
        <item h="1" m="1" x="12"/>
        <item h="1" m="1" x="29"/>
        <item h="1" m="1" x="23"/>
        <item h="1" m="1" x="18"/>
        <item h="1" m="1" x="13"/>
        <item h="1" m="1" x="30"/>
        <item h="1" m="1" x="24"/>
        <item h="1" x="0"/>
        <item h="1" x="1"/>
        <item h="1" x="2"/>
        <item h="1" x="3"/>
        <item x="4"/>
        <item x="5"/>
        <item x="6"/>
        <item x="7"/>
      </items>
    </pivotField>
    <pivotField dataField="1" compact="0" outline="0" showAll="0"/>
    <pivotField compact="0" outline="0" showAll="0" defaultSubtotal="0"/>
    <pivotField axis="axisCol" compact="0" outline="0" showAll="0">
      <items count="4">
        <item x="1"/>
        <item x="0"/>
        <item m="1" x="2"/>
        <item t="default"/>
      </items>
    </pivotField>
    <pivotField compact="0" outline="0" showAll="0"/>
    <pivotField compact="0" outline="0" showAll="0"/>
    <pivotField dataField="1" compact="0" outline="0" showAl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5"/>
  </rowFields>
  <rowItems count="4">
    <i>
      <x v="27"/>
    </i>
    <i>
      <x v="28"/>
    </i>
    <i>
      <x v="29"/>
    </i>
    <i>
      <x v="30"/>
    </i>
  </rowItems>
  <colFields count="2">
    <field x="8"/>
    <field x="-2"/>
  </colFields>
  <colItems count="4">
    <i>
      <x/>
      <x/>
    </i>
    <i r="1" i="1">
      <x v="1"/>
    </i>
    <i>
      <x v="1"/>
      <x/>
    </i>
    <i r="1" i="1">
      <x v="1"/>
    </i>
  </colItems>
  <dataFields count="2">
    <dataField name="Estimate " fld="6" baseField="3" baseItem="4"/>
    <dataField name="Final count" fld="11" baseField="3" baseItem="4"/>
  </dataFields>
  <formats count="28">
    <format dxfId="100">
      <pivotArea outline="0" collapsedLevelsAreSubtotals="1" fieldPosition="0"/>
    </format>
    <format dxfId="99">
      <pivotArea dataOnly="0" labelOnly="1" outline="0" fieldPosition="0">
        <references count="1">
          <reference field="5" count="0"/>
        </references>
      </pivotArea>
    </format>
    <format dxfId="98">
      <pivotArea type="origin" dataOnly="0" labelOnly="1" outline="0" fieldPosition="0"/>
    </format>
    <format dxfId="97">
      <pivotArea field="5" type="button" dataOnly="0" labelOnly="1" outline="0" axis="axisRow" fieldPosition="0"/>
    </format>
    <format dxfId="96">
      <pivotArea field="8" type="button" dataOnly="0" labelOnly="1" outline="0" axis="axisCol" fieldPosition="0"/>
    </format>
    <format dxfId="95">
      <pivotArea field="-2" type="button" dataOnly="0" labelOnly="1" outline="0" axis="axisCol" fieldPosition="1"/>
    </format>
    <format dxfId="94">
      <pivotArea type="topRight" dataOnly="0" labelOnly="1" outline="0" fieldPosition="0"/>
    </format>
    <format dxfId="93">
      <pivotArea dataOnly="0" labelOnly="1" outline="0" fieldPosition="0">
        <references count="1">
          <reference field="8" count="0"/>
        </references>
      </pivotArea>
    </format>
    <format dxfId="92">
      <pivotArea dataOnly="0" labelOnly="1" outline="0" fieldPosition="0">
        <references count="2">
          <reference field="4294967294" count="2">
            <x v="0"/>
            <x v="1"/>
          </reference>
          <reference field="8" count="1" selected="0">
            <x v="0"/>
          </reference>
        </references>
      </pivotArea>
    </format>
    <format dxfId="91">
      <pivotArea dataOnly="0" labelOnly="1" outline="0" fieldPosition="0">
        <references count="2">
          <reference field="4294967294" count="2">
            <x v="0"/>
            <x v="1"/>
          </reference>
          <reference field="8" count="1" selected="0">
            <x v="1"/>
          </reference>
        </references>
      </pivotArea>
    </format>
    <format dxfId="90">
      <pivotArea type="origin" dataOnly="0" labelOnly="1" outline="0" fieldPosition="0"/>
    </format>
    <format dxfId="89">
      <pivotArea field="5" type="button" dataOnly="0" labelOnly="1" outline="0" axis="axisRow" fieldPosition="0"/>
    </format>
    <format dxfId="88">
      <pivotArea field="8" type="button" dataOnly="0" labelOnly="1" outline="0" axis="axisCol" fieldPosition="0"/>
    </format>
    <format dxfId="87">
      <pivotArea field="-2" type="button" dataOnly="0" labelOnly="1" outline="0" axis="axisCol" fieldPosition="1"/>
    </format>
    <format dxfId="86">
      <pivotArea type="topRight" dataOnly="0" labelOnly="1" outline="0" fieldPosition="0"/>
    </format>
    <format dxfId="85">
      <pivotArea dataOnly="0" labelOnly="1" outline="0" fieldPosition="0">
        <references count="1">
          <reference field="8" count="0"/>
        </references>
      </pivotArea>
    </format>
    <format dxfId="84">
      <pivotArea dataOnly="0" labelOnly="1" outline="0" fieldPosition="0">
        <references count="2">
          <reference field="4294967294" count="2">
            <x v="0"/>
            <x v="1"/>
          </reference>
          <reference field="8" count="1" selected="0">
            <x v="0"/>
          </reference>
        </references>
      </pivotArea>
    </format>
    <format dxfId="83">
      <pivotArea dataOnly="0" labelOnly="1" outline="0" fieldPosition="0">
        <references count="2">
          <reference field="4294967294" count="2">
            <x v="0"/>
            <x v="1"/>
          </reference>
          <reference field="8" count="1" selected="0">
            <x v="1"/>
          </reference>
        </references>
      </pivotArea>
    </format>
    <format dxfId="82">
      <pivotArea type="origin" dataOnly="0" labelOnly="1" outline="0" fieldPosition="0"/>
    </format>
    <format dxfId="81">
      <pivotArea field="5" type="button" dataOnly="0" labelOnly="1" outline="0" axis="axisRow" fieldPosition="0"/>
    </format>
    <format dxfId="80">
      <pivotArea field="8" type="button" dataOnly="0" labelOnly="1" outline="0" axis="axisCol" fieldPosition="0"/>
    </format>
    <format dxfId="79">
      <pivotArea field="-2" type="button" dataOnly="0" labelOnly="1" outline="0" axis="axisCol" fieldPosition="1"/>
    </format>
    <format dxfId="78">
      <pivotArea type="topRight" dataOnly="0" labelOnly="1" outline="0" fieldPosition="0"/>
    </format>
    <format dxfId="77">
      <pivotArea dataOnly="0" labelOnly="1" outline="0" fieldPosition="0">
        <references count="1">
          <reference field="8" count="0"/>
        </references>
      </pivotArea>
    </format>
    <format dxfId="76">
      <pivotArea dataOnly="0" labelOnly="1" outline="0" fieldPosition="0">
        <references count="2">
          <reference field="4294967294" count="2">
            <x v="0"/>
            <x v="1"/>
          </reference>
          <reference field="8" count="1" selected="0">
            <x v="0"/>
          </reference>
        </references>
      </pivotArea>
    </format>
    <format dxfId="75">
      <pivotArea dataOnly="0" labelOnly="1" outline="0" fieldPosition="0">
        <references count="2">
          <reference field="4294967294" count="2">
            <x v="0"/>
            <x v="1"/>
          </reference>
          <reference field="8" count="1" selected="0">
            <x v="1"/>
          </reference>
        </references>
      </pivotArea>
    </format>
    <format dxfId="74">
      <pivotArea dataOnly="0" labelOnly="1" outline="0" fieldPosition="0">
        <references count="2">
          <reference field="4294967294" count="1">
            <x v="0"/>
          </reference>
          <reference field="8" count="1" selected="0">
            <x v="2"/>
          </reference>
        </references>
      </pivotArea>
    </format>
    <format dxfId="73">
      <pivotArea field="5"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PivotTable4" cacheId="0" dataPosition="0" applyNumberFormats="0" applyBorderFormats="0" applyFontFormats="0" applyPatternFormats="0" applyAlignmentFormats="0" applyWidthHeightFormats="1" dataCaption="Values" updatedVersion="8" minRefreshableVersion="3" useAutoFormatting="1" rowGrandTotals="0" itemPrintTitles="1" createdVersion="4" indent="0" outline="1" outlineData="1" multipleFieldFilters="0" chartFormat="7" rowHeaderCaption="Review quarters">
  <location ref="K9:N13" firstHeaderRow="0" firstDataRow="1" firstDataCol="1"/>
  <pivotFields count="23">
    <pivotField numFmtId="3" showAll="0"/>
    <pivotField showAll="0">
      <items count="10">
        <item x="0"/>
        <item h="1" x="1"/>
        <item h="1" x="2"/>
        <item h="1" x="3"/>
        <item h="1" x="4"/>
        <item h="1" x="5"/>
        <item h="1" x="6"/>
        <item h="1" x="7"/>
        <item h="1" x="8"/>
        <item t="default"/>
      </items>
    </pivotField>
    <pivotField showAll="0">
      <items count="9">
        <item h="1" m="1" x="4"/>
        <item h="1" m="1" x="6"/>
        <item h="1" x="0"/>
        <item x="1"/>
        <item h="1" x="2"/>
        <item h="1" m="1" x="7"/>
        <item h="1" x="3"/>
        <item h="1" m="1" x="5"/>
        <item t="default"/>
      </items>
    </pivotField>
    <pivotField showAll="0"/>
    <pivotField showAll="0"/>
    <pivotField axis="axisRow" numFmtId="169" showAll="0" defaultSubtotal="0">
      <items count="31">
        <item h="1" m="1" x="8"/>
        <item h="1" m="1" x="25"/>
        <item h="1" m="1" x="19"/>
        <item h="1" m="1" x="14"/>
        <item h="1" m="1" x="9"/>
        <item h="1" m="1" x="26"/>
        <item h="1" m="1" x="20"/>
        <item h="1" m="1" x="15"/>
        <item h="1" m="1" x="10"/>
        <item h="1" m="1" x="27"/>
        <item h="1" m="1" x="21"/>
        <item h="1" m="1" x="16"/>
        <item h="1" m="1" x="11"/>
        <item h="1" m="1" x="28"/>
        <item h="1" m="1" x="22"/>
        <item h="1" m="1" x="17"/>
        <item h="1" m="1" x="12"/>
        <item h="1" m="1" x="29"/>
        <item h="1" m="1" x="23"/>
        <item h="1" m="1" x="18"/>
        <item h="1" m="1" x="13"/>
        <item h="1" m="1" x="30"/>
        <item h="1" m="1" x="24"/>
        <item h="1" x="0"/>
        <item h="1" x="1"/>
        <item h="1" x="2"/>
        <item h="1" x="3"/>
        <item x="4"/>
        <item x="5"/>
        <item x="6"/>
        <item x="7"/>
      </items>
    </pivotField>
    <pivotField showAll="0"/>
    <pivotField showAll="0" defaultSubtotal="0"/>
    <pivotField showAll="0">
      <items count="4">
        <item x="1"/>
        <item h="1" m="1" x="2"/>
        <item h="1" x="0"/>
        <item t="default"/>
      </items>
    </pivotField>
    <pivotField showAll="0"/>
    <pivotField showAll="0"/>
    <pivotField showAll="0"/>
    <pivotField showAll="0"/>
    <pivotField showAll="0"/>
    <pivotField showAll="0" defaultSubtotal="0"/>
    <pivotField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s>
  <rowFields count="1">
    <field x="5"/>
  </rowFields>
  <rowItems count="4">
    <i>
      <x v="27"/>
    </i>
    <i>
      <x v="28"/>
    </i>
    <i>
      <x v="29"/>
    </i>
    <i>
      <x v="30"/>
    </i>
  </rowItems>
  <colFields count="1">
    <field x="-2"/>
  </colFields>
  <colItems count="3">
    <i>
      <x/>
    </i>
    <i i="1">
      <x v="1"/>
    </i>
    <i i="2">
      <x v="2"/>
    </i>
  </colItems>
  <dataFields count="3">
    <dataField name="Published estimate as % of final count" fld="16" baseField="5" baseItem="6" numFmtId="167"/>
    <dataField name="Model estimate as % of final count  " fld="22" baseField="5" baseItem="6" numFmtId="167"/>
    <dataField name="Final count (100%)" fld="17" baseField="5" baseItem="6" numFmtId="9"/>
  </dataFields>
  <formats count="14">
    <format dxfId="114">
      <pivotArea field="5" type="button" dataOnly="0" labelOnly="1" outline="0" axis="axisRow" fieldPosition="0"/>
    </format>
    <format dxfId="113">
      <pivotArea dataOnly="0" labelOnly="1" outline="0" fieldPosition="0">
        <references count="1">
          <reference field="4294967294" count="2">
            <x v="0"/>
            <x v="2"/>
          </reference>
        </references>
      </pivotArea>
    </format>
    <format dxfId="112">
      <pivotArea field="5" type="button" dataOnly="0" labelOnly="1" outline="0" axis="axisRow" fieldPosition="0"/>
    </format>
    <format dxfId="111">
      <pivotArea dataOnly="0" labelOnly="1" outline="0" fieldPosition="0">
        <references count="1">
          <reference field="4294967294" count="2">
            <x v="0"/>
            <x v="2"/>
          </reference>
        </references>
      </pivotArea>
    </format>
    <format dxfId="110">
      <pivotArea field="5" type="button" dataOnly="0" labelOnly="1" outline="0" axis="axisRow" fieldPosition="0"/>
    </format>
    <format dxfId="109">
      <pivotArea dataOnly="0" labelOnly="1" outline="0" fieldPosition="0">
        <references count="1">
          <reference field="4294967294" count="2">
            <x v="0"/>
            <x v="2"/>
          </reference>
        </references>
      </pivotArea>
    </format>
    <format dxfId="108">
      <pivotArea collapsedLevelsAreSubtotals="1" fieldPosition="0">
        <references count="1">
          <reference field="5" count="1">
            <x v="8"/>
          </reference>
        </references>
      </pivotArea>
    </format>
    <format dxfId="107">
      <pivotArea outline="0" collapsedLevelsAreSubtotals="1" fieldPosition="0"/>
    </format>
    <format dxfId="106">
      <pivotArea dataOnly="0" labelOnly="1" fieldPosition="0">
        <references count="1">
          <reference field="5" count="0"/>
        </references>
      </pivotArea>
    </format>
    <format dxfId="105">
      <pivotArea dataOnly="0" labelOnly="1" outline="0" fieldPosition="0">
        <references count="1">
          <reference field="4294967294" count="1">
            <x v="1"/>
          </reference>
        </references>
      </pivotArea>
    </format>
    <format dxfId="104">
      <pivotArea dataOnly="0" labelOnly="1" outline="0" fieldPosition="0">
        <references count="1">
          <reference field="4294967294" count="1">
            <x v="1"/>
          </reference>
        </references>
      </pivotArea>
    </format>
    <format dxfId="103">
      <pivotArea outline="0" fieldPosition="0">
        <references count="1">
          <reference field="4294967294" count="1">
            <x v="1"/>
          </reference>
        </references>
      </pivotArea>
    </format>
    <format dxfId="102">
      <pivotArea field="5" type="button" dataOnly="0" labelOnly="1" outline="0" axis="axisRow" fieldPosition="0"/>
    </format>
    <format dxfId="101">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PivotTable2" cacheId="0" applyNumberFormats="0" applyBorderFormats="0" applyFontFormats="0" applyPatternFormats="0" applyAlignmentFormats="0" applyWidthHeightFormats="1" dataCaption="Values" updatedVersion="8" minRefreshableVersion="3" rowGrandTotals="0" itemPrintTitles="1" createdVersion="4" indent="0" compact="0" compactData="0" multipleFieldFilters="0" chartFormat="2" rowHeaderCaption="Contact status">
  <location ref="F6:M10" firstHeaderRow="0" firstDataRow="1" firstDataCol="2"/>
  <pivotFields count="23">
    <pivotField compact="0" numFmtId="3" outline="0" showAll="0"/>
    <pivotField compact="0" outline="0" showAll="0">
      <items count="10">
        <item x="0"/>
        <item h="1" x="1"/>
        <item h="1" x="2"/>
        <item h="1" x="3"/>
        <item h="1" x="4"/>
        <item h="1" x="5"/>
        <item h="1" x="6"/>
        <item h="1" x="7"/>
        <item h="1" x="8"/>
        <item t="default"/>
      </items>
    </pivotField>
    <pivotField name="Contract status" axis="axisRow" compact="0" outline="0" showAll="0" defaultSubtotal="0">
      <items count="8">
        <item h="1" m="1" x="4"/>
        <item h="1" m="1" x="6"/>
        <item h="1" m="1" x="7"/>
        <item h="1" m="1" x="5"/>
        <item h="1" x="0"/>
        <item x="1"/>
        <item h="1" x="2"/>
        <item h="1" x="3"/>
      </items>
    </pivotField>
    <pivotField compact="0" outline="0" showAll="0"/>
    <pivotField compact="0" outline="0" showAll="0" defaultSubtotal="0">
      <items count="32">
        <item m="1" x="23"/>
        <item m="1" x="17"/>
        <item m="1" x="11"/>
        <item m="1" x="29"/>
        <item m="1" x="24"/>
        <item m="1" x="18"/>
        <item m="1" x="12"/>
        <item m="1" x="30"/>
        <item m="1" x="25"/>
        <item m="1" x="19"/>
        <item m="1" x="13"/>
        <item m="1" x="31"/>
        <item m="1" x="26"/>
        <item m="1" x="20"/>
        <item m="1" x="14"/>
        <item m="1" x="9"/>
        <item m="1" x="27"/>
        <item m="1" x="21"/>
        <item m="1" x="15"/>
        <item m="1" x="10"/>
        <item m="1" x="28"/>
        <item m="1" x="22"/>
        <item m="1" x="16"/>
        <item x="0"/>
        <item x="1"/>
        <item x="2"/>
        <item x="3"/>
        <item x="4"/>
        <item x="5"/>
        <item x="6"/>
        <item x="7"/>
        <item x="8"/>
      </items>
    </pivotField>
    <pivotField name="Review quarter" axis="axisRow" compact="0" numFmtId="169" outline="0" showAll="0" defaultSubtotal="0">
      <items count="31">
        <item h="1" m="1" x="8"/>
        <item h="1" m="1" x="25"/>
        <item h="1" m="1" x="19"/>
        <item h="1" m="1" x="14"/>
        <item h="1" m="1" x="9"/>
        <item h="1" m="1" x="26"/>
        <item h="1" m="1" x="20"/>
        <item h="1" m="1" x="15"/>
        <item h="1" m="1" x="10"/>
        <item h="1" m="1" x="27"/>
        <item h="1" m="1" x="21"/>
        <item h="1" m="1" x="16"/>
        <item h="1" m="1" x="11"/>
        <item h="1" m="1" x="28"/>
        <item h="1" m="1" x="22"/>
        <item h="1" m="1" x="17"/>
        <item h="1" m="1" x="12"/>
        <item h="1" m="1" x="29"/>
        <item h="1" m="1" x="23"/>
        <item h="1" m="1" x="18"/>
        <item h="1" m="1" x="13"/>
        <item h="1" m="1" x="30"/>
        <item h="1" m="1" x="24"/>
        <item h="1" x="0"/>
        <item h="1" x="1"/>
        <item h="1" x="2"/>
        <item h="1" x="3"/>
        <item x="4"/>
        <item x="5"/>
        <item x="6"/>
        <item x="7"/>
      </items>
    </pivotField>
    <pivotField dataField="1" compact="0" outline="0" showAll="0"/>
    <pivotField compact="0" outline="0" showAll="0"/>
    <pivotField compact="0" outline="0" showAll="0">
      <items count="4">
        <item x="1"/>
        <item h="1" m="1" x="2"/>
        <item h="1" x="0"/>
        <item t="default"/>
      </items>
    </pivotField>
    <pivotField dataField="1" compact="0" outline="0" showAll="0"/>
    <pivotField dataField="1" compact="0" outline="0" showAll="0"/>
    <pivotField dataField="1" compact="0" outline="0" showAll="0"/>
    <pivotField dataField="1" compact="0" outline="0" showAll="0"/>
    <pivotField compact="0" outline="0" showAll="0"/>
    <pivotField dataField="1"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2"/>
    <field x="5"/>
  </rowFields>
  <rowItems count="4">
    <i>
      <x v="5"/>
      <x v="27"/>
    </i>
    <i r="1">
      <x v="28"/>
    </i>
    <i r="1">
      <x v="29"/>
    </i>
    <i r="1">
      <x v="30"/>
    </i>
  </rowItems>
  <colFields count="1">
    <field x="-2"/>
  </colFields>
  <colItems count="6">
    <i>
      <x/>
    </i>
    <i i="1">
      <x v="1"/>
    </i>
    <i i="2">
      <x v="2"/>
    </i>
    <i i="3">
      <x v="3"/>
    </i>
    <i i="4">
      <x v="4"/>
    </i>
    <i i="5">
      <x v="5"/>
    </i>
  </colItems>
  <dataFields count="6">
    <dataField name="Collected count from STAs" fld="14" baseField="5" baseItem="2"/>
    <dataField name="NCVER published estimate " fld="6" baseField="0" baseItem="0"/>
    <dataField name="Lower boundary of 95% prediction interval" fld="9" baseField="5" baseItem="0"/>
    <dataField name="Upper boundary of 95% prediction interval" fld="10" baseField="5" baseItem="0"/>
    <dataField name="Final count" fld="11" baseField="0" baseItem="0"/>
    <dataField name="Estimate as percentage of final count" fld="12" baseField="5" baseItem="2" numFmtId="166"/>
  </dataFields>
  <formats count="33">
    <format dxfId="32">
      <pivotArea outline="0" collapsedLevelsAreSubtotals="1" fieldPosition="0">
        <references count="1">
          <reference field="4294967294" count="1" selected="0">
            <x v="5"/>
          </reference>
        </references>
      </pivotArea>
    </format>
    <format dxfId="31">
      <pivotArea field="2" type="button" dataOnly="0" labelOnly="1" outline="0" axis="axisRow" fieldPosition="0"/>
    </format>
    <format dxfId="30">
      <pivotArea field="5" type="button" dataOnly="0" labelOnly="1" outline="0" axis="axisRow" fieldPosition="1"/>
    </format>
    <format dxfId="29">
      <pivotArea dataOnly="0" labelOnly="1" outline="0" fieldPosition="0">
        <references count="1">
          <reference field="4294967294" count="5">
            <x v="1"/>
            <x v="2"/>
            <x v="3"/>
            <x v="4"/>
            <x v="5"/>
          </reference>
        </references>
      </pivotArea>
    </format>
    <format dxfId="28">
      <pivotArea field="2" type="button" dataOnly="0" labelOnly="1" outline="0" axis="axisRow" fieldPosition="0"/>
    </format>
    <format dxfId="27">
      <pivotArea field="5" type="button" dataOnly="0" labelOnly="1" outline="0" axis="axisRow" fieldPosition="1"/>
    </format>
    <format dxfId="26">
      <pivotArea dataOnly="0" labelOnly="1" outline="0" fieldPosition="0">
        <references count="1">
          <reference field="4294967294" count="5">
            <x v="1"/>
            <x v="2"/>
            <x v="3"/>
            <x v="4"/>
            <x v="5"/>
          </reference>
        </references>
      </pivotArea>
    </format>
    <format dxfId="25">
      <pivotArea field="4" type="button" dataOnly="0" labelOnly="1" outline="0"/>
    </format>
    <format dxfId="24">
      <pivotArea outline="0" fieldPosition="0">
        <references count="1">
          <reference field="4294967294" count="1">
            <x v="5"/>
          </reference>
        </references>
      </pivotArea>
    </format>
    <format dxfId="23">
      <pivotArea dataOnly="0" labelOnly="1" outline="0" fieldPosition="0">
        <references count="1">
          <reference field="2" count="0"/>
        </references>
      </pivotArea>
    </format>
    <format dxfId="22">
      <pivotArea outline="0" collapsedLevelsAreSubtotals="1" fieldPosition="0"/>
    </format>
    <format dxfId="21">
      <pivotArea dataOnly="0" labelOnly="1" outline="0" fieldPosition="0">
        <references count="1">
          <reference field="2" count="0"/>
        </references>
      </pivotArea>
    </format>
    <format dxfId="20">
      <pivotArea dataOnly="0" labelOnly="1" outline="0" fieldPosition="0">
        <references count="2">
          <reference field="2" count="0" selected="0"/>
          <reference field="5" count="0"/>
        </references>
      </pivotArea>
    </format>
    <format dxfId="19">
      <pivotArea outline="0" collapsedLevelsAreSubtotals="1" fieldPosition="0"/>
    </format>
    <format dxfId="18">
      <pivotArea dataOnly="0" labelOnly="1" outline="0" fieldPosition="0">
        <references count="1">
          <reference field="2" count="0"/>
        </references>
      </pivotArea>
    </format>
    <format dxfId="17">
      <pivotArea dataOnly="0" labelOnly="1" outline="0" fieldPosition="0">
        <references count="2">
          <reference field="2" count="0" selected="0"/>
          <reference field="5" count="0"/>
        </references>
      </pivotArea>
    </format>
    <format dxfId="16">
      <pivotArea dataOnly="0" labelOnly="1" outline="0" fieldPosition="0">
        <references count="1">
          <reference field="4294967294" count="1">
            <x v="0"/>
          </reference>
        </references>
      </pivotArea>
    </format>
    <format dxfId="15">
      <pivotArea dataOnly="0" labelOnly="1" outline="0" fieldPosition="0">
        <references count="1">
          <reference field="4294967294" count="1">
            <x v="0"/>
          </reference>
        </references>
      </pivotArea>
    </format>
    <format dxfId="14">
      <pivotArea dataOnly="0" labelOnly="1" outline="0" fieldPosition="0">
        <references count="1">
          <reference field="4294967294" count="6">
            <x v="0"/>
            <x v="1"/>
            <x v="2"/>
            <x v="3"/>
            <x v="4"/>
            <x v="5"/>
          </reference>
        </references>
      </pivotArea>
    </format>
    <format dxfId="13">
      <pivotArea field="2" type="button" dataOnly="0" labelOnly="1" outline="0" axis="axisRow" fieldPosition="0"/>
    </format>
    <format dxfId="12">
      <pivotArea field="5" type="button" dataOnly="0" labelOnly="1" outline="0" axis="axisRow" fieldPosition="1"/>
    </format>
    <format dxfId="11">
      <pivotArea dataOnly="0" labelOnly="1" outline="0" fieldPosition="0">
        <references count="1">
          <reference field="4294967294" count="6">
            <x v="0"/>
            <x v="1"/>
            <x v="2"/>
            <x v="3"/>
            <x v="4"/>
            <x v="5"/>
          </reference>
        </references>
      </pivotArea>
    </format>
    <format dxfId="10">
      <pivotArea field="2" type="button" dataOnly="0" labelOnly="1" outline="0" axis="axisRow" fieldPosition="0"/>
    </format>
    <format dxfId="9">
      <pivotArea field="5" type="button" dataOnly="0" labelOnly="1" outline="0" axis="axisRow" fieldPosition="1"/>
    </format>
    <format dxfId="8">
      <pivotArea dataOnly="0" labelOnly="1" outline="0" fieldPosition="0">
        <references count="1">
          <reference field="4294967294" count="6">
            <x v="0"/>
            <x v="1"/>
            <x v="2"/>
            <x v="3"/>
            <x v="4"/>
            <x v="5"/>
          </reference>
        </references>
      </pivotArea>
    </format>
    <format dxfId="7">
      <pivotArea type="all" dataOnly="0" outline="0" fieldPosition="0"/>
    </format>
    <format dxfId="6">
      <pivotArea type="all" dataOnly="0" outline="0" fieldPosition="0"/>
    </format>
    <format dxfId="5">
      <pivotArea dataOnly="0" labelOnly="1" outline="0" fieldPosition="0">
        <references count="1">
          <reference field="4294967294" count="6">
            <x v="0"/>
            <x v="1"/>
            <x v="2"/>
            <x v="3"/>
            <x v="4"/>
            <x v="5"/>
          </reference>
        </references>
      </pivotArea>
    </format>
    <format dxfId="4">
      <pivotArea dataOnly="0" labelOnly="1" outline="0" fieldPosition="0">
        <references count="1">
          <reference field="4294967294" count="6">
            <x v="0"/>
            <x v="1"/>
            <x v="2"/>
            <x v="3"/>
            <x v="4"/>
            <x v="5"/>
          </reference>
        </references>
      </pivotArea>
    </format>
    <format dxfId="3">
      <pivotArea dataOnly="0" labelOnly="1" outline="0" fieldPosition="0">
        <references count="1">
          <reference field="4294967294" count="6">
            <x v="0"/>
            <x v="1"/>
            <x v="2"/>
            <x v="3"/>
            <x v="4"/>
            <x v="5"/>
          </reference>
        </references>
      </pivotArea>
    </format>
    <format dxfId="2">
      <pivotArea dataOnly="0" labelOnly="1" outline="0" fieldPosition="0">
        <references count="1">
          <reference field="4294967294" count="1">
            <x v="0"/>
          </reference>
        </references>
      </pivotArea>
    </format>
    <format dxfId="1">
      <pivotArea field="2" type="button" dataOnly="0" labelOnly="1" outline="0" axis="axisRow" fieldPosition="0"/>
    </format>
    <format dxfId="0">
      <pivotArea field="5" type="button" dataOnly="0" labelOnly="1" outline="0" axis="axisRow" fieldPosition="1"/>
    </format>
  </formats>
  <conditionalFormats count="2">
    <conditionalFormat priority="1">
      <pivotAreas count="1">
        <pivotArea type="data" outline="0" collapsedLevelsAreSubtotals="1" fieldPosition="0">
          <references count="1">
            <reference field="4294967294" count="1" selected="0">
              <x v="5"/>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500-000003000000}" name="PivotTable4" cacheId="0"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rowHeaderCaption="Contract status">
  <location ref="A11:A12" firstHeaderRow="1" firstDataRow="1" firstDataCol="1"/>
  <pivotFields count="23">
    <pivotField numFmtId="3" showAll="0"/>
    <pivotField showAll="0">
      <items count="10">
        <item x="0"/>
        <item h="1" x="1"/>
        <item h="1" x="2"/>
        <item h="1" x="3"/>
        <item h="1" x="4"/>
        <item h="1" x="5"/>
        <item h="1" x="6"/>
        <item h="1" x="7"/>
        <item h="1" x="8"/>
        <item t="default"/>
      </items>
    </pivotField>
    <pivotField axis="axisRow" showAll="0">
      <items count="9">
        <item h="1" m="1" x="4"/>
        <item h="1" m="1" x="6"/>
        <item h="1" x="0"/>
        <item x="1"/>
        <item h="1" x="2"/>
        <item h="1" m="1" x="7"/>
        <item h="1" x="3"/>
        <item h="1" m="1" x="5"/>
        <item t="default"/>
      </items>
    </pivotField>
    <pivotField showAll="0"/>
    <pivotField showAll="0"/>
    <pivotField showAll="0">
      <items count="32">
        <item h="1" m="1" x="8"/>
        <item h="1" m="1" x="25"/>
        <item h="1" m="1" x="19"/>
        <item h="1" m="1" x="14"/>
        <item h="1" m="1" x="9"/>
        <item h="1" m="1" x="26"/>
        <item h="1" m="1" x="20"/>
        <item h="1" m="1" x="15"/>
        <item h="1" m="1" x="10"/>
        <item h="1" m="1" x="27"/>
        <item h="1" m="1" x="21"/>
        <item h="1" m="1" x="16"/>
        <item h="1" m="1" x="11"/>
        <item h="1" m="1" x="28"/>
        <item h="1" m="1" x="22"/>
        <item h="1" m="1" x="17"/>
        <item h="1" m="1" x="12"/>
        <item h="1" m="1" x="29"/>
        <item h="1" m="1" x="23"/>
        <item h="1" m="1" x="18"/>
        <item h="1" m="1" x="13"/>
        <item h="1" m="1" x="30"/>
        <item h="1" m="1" x="24"/>
        <item h="1" x="0"/>
        <item h="1" x="1"/>
        <item h="1" x="2"/>
        <item h="1" x="3"/>
        <item x="4"/>
        <item x="5"/>
        <item x="6"/>
        <item x="7"/>
        <item t="default"/>
      </items>
    </pivotField>
    <pivotField showAll="0"/>
    <pivotField showAll="0"/>
    <pivotField showAll="0">
      <items count="4">
        <item x="1"/>
        <item h="1" m="1" x="2"/>
        <item h="1" x="0"/>
        <item t="default"/>
      </items>
    </pivotField>
    <pivotField showAll="0"/>
    <pivotField showAll="0"/>
    <pivotField showAll="0"/>
    <pivotField showAll="0"/>
    <pivotField showAl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1">
    <i>
      <x v="3"/>
    </i>
  </rowItems>
  <colItems count="1">
    <i/>
  </colItems>
  <formats count="1">
    <format dxfId="3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500-000002000000}" name="PivotTable3" cacheId="0"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rowHeaderCaption="Estimate type">
  <location ref="A9:A10" firstHeaderRow="1" firstDataRow="1" firstDataCol="1"/>
  <pivotFields count="23">
    <pivotField numFmtId="3" showAll="0"/>
    <pivotField showAll="0">
      <items count="10">
        <item x="0"/>
        <item h="1" x="1"/>
        <item h="1" x="2"/>
        <item h="1" x="3"/>
        <item h="1" x="4"/>
        <item h="1" x="5"/>
        <item h="1" x="6"/>
        <item h="1" x="7"/>
        <item h="1" x="8"/>
        <item t="default"/>
      </items>
    </pivotField>
    <pivotField showAll="0">
      <items count="9">
        <item h="1" m="1" x="4"/>
        <item h="1" m="1" x="6"/>
        <item h="1" x="0"/>
        <item x="1"/>
        <item h="1" x="2"/>
        <item h="1" m="1" x="7"/>
        <item h="1" x="3"/>
        <item h="1" m="1" x="5"/>
        <item t="default"/>
      </items>
    </pivotField>
    <pivotField showAll="0"/>
    <pivotField showAll="0"/>
    <pivotField showAll="0">
      <items count="32">
        <item h="1" m="1" x="8"/>
        <item h="1" m="1" x="25"/>
        <item h="1" m="1" x="19"/>
        <item h="1" m="1" x="14"/>
        <item h="1" m="1" x="9"/>
        <item h="1" m="1" x="26"/>
        <item h="1" m="1" x="20"/>
        <item h="1" m="1" x="15"/>
        <item h="1" m="1" x="10"/>
        <item h="1" m="1" x="27"/>
        <item h="1" m="1" x="21"/>
        <item h="1" m="1" x="16"/>
        <item h="1" m="1" x="11"/>
        <item h="1" m="1" x="28"/>
        <item h="1" m="1" x="22"/>
        <item h="1" m="1" x="17"/>
        <item h="1" m="1" x="12"/>
        <item h="1" m="1" x="29"/>
        <item h="1" m="1" x="23"/>
        <item h="1" m="1" x="18"/>
        <item h="1" m="1" x="13"/>
        <item h="1" m="1" x="30"/>
        <item h="1" m="1" x="24"/>
        <item h="1" x="0"/>
        <item h="1" x="1"/>
        <item h="1" x="2"/>
        <item h="1" x="3"/>
        <item x="4"/>
        <item x="5"/>
        <item x="6"/>
        <item x="7"/>
        <item t="default"/>
      </items>
    </pivotField>
    <pivotField showAll="0"/>
    <pivotField showAll="0"/>
    <pivotField axis="axisRow" showAll="0">
      <items count="4">
        <item x="1"/>
        <item h="1" x="0"/>
        <item h="1" m="1" x="2"/>
        <item t="default"/>
      </items>
    </pivotField>
    <pivotField showAll="0"/>
    <pivotField showAll="0"/>
    <pivotField showAll="0"/>
    <pivotField showAll="0"/>
    <pivotField showAl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8"/>
  </rowFields>
  <rowItems count="1">
    <i>
      <x/>
    </i>
  </rowItems>
  <colItems count="1">
    <i/>
  </colItems>
  <formats count="1">
    <format dxfId="3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0"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rowHeaderCaption="State">
  <location ref="A7:A8" firstHeaderRow="1" firstDataRow="1" firstDataCol="1"/>
  <pivotFields count="23">
    <pivotField numFmtId="3" showAll="0"/>
    <pivotField axis="axisRow" showAll="0">
      <items count="10">
        <item x="0"/>
        <item h="1" x="1"/>
        <item h="1" x="2"/>
        <item h="1" x="3"/>
        <item h="1" x="4"/>
        <item h="1" x="5"/>
        <item h="1" x="6"/>
        <item h="1" x="7"/>
        <item h="1" x="8"/>
        <item t="default"/>
      </items>
    </pivotField>
    <pivotField showAll="0">
      <items count="9">
        <item h="1" m="1" x="4"/>
        <item h="1" m="1" x="6"/>
        <item h="1" x="0"/>
        <item x="1"/>
        <item h="1" x="2"/>
        <item h="1" m="1" x="7"/>
        <item h="1" x="3"/>
        <item h="1" m="1" x="5"/>
        <item t="default"/>
      </items>
    </pivotField>
    <pivotField showAll="0"/>
    <pivotField showAll="0"/>
    <pivotField showAll="0" defaultSubtotal="0">
      <items count="31">
        <item h="1" m="1" x="8"/>
        <item h="1" m="1" x="25"/>
        <item h="1" m="1" x="19"/>
        <item h="1" m="1" x="14"/>
        <item h="1" m="1" x="9"/>
        <item h="1" m="1" x="26"/>
        <item h="1" m="1" x="20"/>
        <item h="1" m="1" x="15"/>
        <item h="1" m="1" x="10"/>
        <item h="1" m="1" x="27"/>
        <item h="1" m="1" x="21"/>
        <item h="1" m="1" x="16"/>
        <item h="1" m="1" x="11"/>
        <item h="1" m="1" x="28"/>
        <item h="1" m="1" x="22"/>
        <item h="1" m="1" x="17"/>
        <item h="1" m="1" x="12"/>
        <item h="1" m="1" x="29"/>
        <item h="1" m="1" x="23"/>
        <item h="1" m="1" x="18"/>
        <item h="1" m="1" x="13"/>
        <item h="1" m="1" x="30"/>
        <item h="1" m="1" x="24"/>
        <item h="1" x="0"/>
        <item h="1" x="1"/>
        <item h="1" x="2"/>
        <item h="1" x="3"/>
        <item x="4"/>
        <item x="5"/>
        <item x="6"/>
        <item x="7"/>
      </items>
    </pivotField>
    <pivotField showAll="0"/>
    <pivotField showAll="0"/>
    <pivotField showAll="0">
      <items count="4">
        <item x="1"/>
        <item h="1" m="1" x="2"/>
        <item h="1" x="0"/>
        <item t="default"/>
      </items>
    </pivotField>
    <pivotField showAll="0"/>
    <pivotField showAll="0"/>
    <pivotField showAll="0"/>
    <pivotField showAll="0"/>
    <pivotField showAl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1"/>
  </rowFields>
  <rowItems count="1">
    <i>
      <x/>
    </i>
  </rowItems>
  <colItems count="1">
    <i/>
  </colItems>
  <formats count="1">
    <format dxfId="3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00000000-0013-0000-FFFF-FFFF01000000}" sourceName="State">
  <pivotTables>
    <pivotTable tabId="14" name="PivotTable2"/>
    <pivotTable tabId="14" name="PivotTable3"/>
    <pivotTable tabId="14" name="PivotTable4"/>
    <pivotTable tabId="14" name="PivotTable5"/>
    <pivotTable tabId="14" name="PivotTable6"/>
    <pivotTable tabId="4" name="PivotTable1"/>
    <pivotTable tabId="4" name="PivotTable2"/>
    <pivotTable tabId="4" name="PivotTable3"/>
    <pivotTable tabId="4" name="PivotTable4"/>
  </pivotTables>
  <data>
    <tabular pivotCacheId="3" showMissing="0">
      <items count="9">
        <i x="0" s="1"/>
        <i x="1"/>
        <i x="2"/>
        <i x="3"/>
        <i x="4"/>
        <i x="5"/>
        <i x="6"/>
        <i x="7"/>
        <i x="8"/>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00000000-0013-0000-FFFF-FFFF02000000}" sourceName="type">
  <pivotTables>
    <pivotTable tabId="14" name="PivotTable2"/>
    <pivotTable tabId="14" name="PivotTable3"/>
    <pivotTable tabId="14" name="PivotTable4"/>
    <pivotTable tabId="14" name="PivotTable6"/>
    <pivotTable tabId="4" name="PivotTable1"/>
    <pivotTable tabId="4" name="PivotTable2"/>
    <pivotTable tabId="4" name="PivotTable3"/>
    <pivotTable tabId="4" name="PivotTable4"/>
  </pivotTables>
  <data>
    <tabular pivotCacheId="3" sortOrder="descending" showMissing="0">
      <items count="3">
        <i x="0"/>
        <i x="1" s="1"/>
        <i x="2"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ntract" xr10:uid="{00000000-0013-0000-FFFF-FFFF03000000}" sourceName="contract">
  <pivotTables>
    <pivotTable tabId="14" name="PivotTable2"/>
    <pivotTable tabId="14" name="PivotTable3"/>
    <pivotTable tabId="14" name="PivotTable4"/>
    <pivotTable tabId="14" name="PivotTable5"/>
    <pivotTable tabId="14" name="PivotTable6"/>
    <pivotTable tabId="4" name="PivotTable1"/>
    <pivotTable tabId="4" name="PivotTable2"/>
    <pivotTable tabId="4" name="PivotTable3"/>
    <pivotTable tabId="4" name="PivotTable4"/>
  </pivotTables>
  <data>
    <tabular pivotCacheId="3" customListSort="0" showMissing="0">
      <items count="8">
        <i x="1" s="1"/>
        <i x="2"/>
        <i x="0" nd="1"/>
        <i x="3" nd="1"/>
        <i x="4" nd="1"/>
        <i x="6" nd="1"/>
        <i x="7" nd="1"/>
        <i x="5"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view_quarter" xr10:uid="{00000000-0013-0000-FFFF-FFFF04000000}" sourceName="review_quarter">
  <pivotTables>
    <pivotTable tabId="14" name="PivotTable2"/>
    <pivotTable tabId="14" name="PivotTable3"/>
    <pivotTable tabId="14" name="PivotTable4"/>
    <pivotTable tabId="14" name="PivotTable5"/>
    <pivotTable tabId="14" name="PivotTable6"/>
    <pivotTable tabId="4" name="PivotTable1"/>
    <pivotTable tabId="4" name="PivotTable2"/>
    <pivotTable tabId="4" name="PivotTable3"/>
    <pivotTable tabId="4" name="PivotTable4"/>
  </pivotTables>
  <data>
    <tabular pivotCacheId="3" showMissing="0">
      <items count="31">
        <i x="4" s="1"/>
        <i x="5" s="1"/>
        <i x="6" s="1"/>
        <i x="7" s="1"/>
        <i x="0" nd="1"/>
        <i x="1" nd="1"/>
        <i x="2" nd="1"/>
        <i x="3" nd="1"/>
        <i x="8" nd="1"/>
        <i x="25" nd="1"/>
        <i x="19" nd="1"/>
        <i x="14" nd="1"/>
        <i x="9" nd="1"/>
        <i x="26" nd="1"/>
        <i x="20" nd="1"/>
        <i x="15" nd="1"/>
        <i x="10" nd="1"/>
        <i x="27" nd="1"/>
        <i x="21" nd="1"/>
        <i x="16" nd="1"/>
        <i x="11" nd="1"/>
        <i x="28" nd="1"/>
        <i x="22" nd="1"/>
        <i x="17" nd="1"/>
        <i x="12" nd="1"/>
        <i x="29" nd="1"/>
        <i x="23" nd="1"/>
        <i x="18" nd="1"/>
        <i x="13" nd="1"/>
        <i x="30" nd="1"/>
        <i x="24"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1" xr10:uid="{00000000-0014-0000-FFFF-FFFF01000000}" cache="Slicer_State" caption="State or territory" style="SlicerStyleLight1 2" rowHeight="241300"/>
  <slicer name="Estimate type 1" xr10:uid="{00000000-0014-0000-FFFF-FFFF02000000}" cache="Slicer_type" caption="Estimate type" rowHeight="241300"/>
  <slicer name="Contract status" xr10:uid="{00000000-0014-0000-FFFF-FFFF03000000}" cache="Slicer_contract" caption="Contract status" style="SlicerStyleLight1 2" rowHeight="241300"/>
  <slicer name="review_quarter" xr10:uid="{00000000-0014-0000-FFFF-FFFF04000000}" cache="Slicer_review_quarter" caption="Review quarters" style="SlicerStyleLight1 2"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2" xr10:uid="{00000000-0014-0000-FFFF-FFFF05000000}" cache="Slicer_State" caption="State or territory" style="SlicerStyleLight1 2" rowHeight="241300"/>
  <slicer name="Estimate type 2" xr10:uid="{00000000-0014-0000-FFFF-FFFF06000000}" cache="Slicer_type" caption="Estimate type" style="SlicerStyleLight1 2" rowHeight="241300"/>
  <slicer name="Contract status 1" xr10:uid="{00000000-0014-0000-FFFF-FFFF07000000}" cache="Slicer_contract" caption="Contract status" style="SlicerStyleLight1 2" rowHeight="241300"/>
  <slicer name="review_quarter 1" xr10:uid="{00000000-0014-0000-FFFF-FFFF08000000}" cache="Slicer_review_quarter" caption="Review quarters" style="SlicerStyleLight1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Q289" tableBorderDxfId="147">
  <autoFilter ref="B1:Q289" xr:uid="{F0A88D5E-819A-4374-8EA2-A36A57779845}"/>
  <tableColumns count="16">
    <tableColumn id="1" xr3:uid="{00000000-0010-0000-0000-000001000000}" name=" " totalsRowLabel="Total" dataDxfId="146" totalsRowDxfId="145"/>
    <tableColumn id="2" xr3:uid="{00000000-0010-0000-0000-000002000000}" name="State" dataDxfId="144" totalsRowDxfId="143"/>
    <tableColumn id="3" xr3:uid="{00000000-0010-0000-0000-000003000000}" name="contract" dataDxfId="142" totalsRowDxfId="141"/>
    <tableColumn id="4" xr3:uid="{00000000-0010-0000-0000-000004000000}" name="collection_quarter" dataDxfId="140" totalsRowDxfId="139"/>
    <tableColumn id="5" xr3:uid="{00000000-0010-0000-0000-000005000000}" name="collection_number" dataDxfId="138" totalsRowDxfId="137"/>
    <tableColumn id="6" xr3:uid="{00000000-0010-0000-0000-000006000000}" name="review_quarter" dataDxfId="136" totalsRowDxfId="135"/>
    <tableColumn id="7" xr3:uid="{00000000-0010-0000-0000-000007000000}" name="Estimate" dataDxfId="134" totalsRowDxfId="133"/>
    <tableColumn id="8" xr3:uid="{00000000-0010-0000-0000-000008000000}" name="model" dataDxfId="132" totalsRowDxfId="131"/>
    <tableColumn id="9" xr3:uid="{00000000-0010-0000-0000-000009000000}" name="type" dataDxfId="130" totalsRowDxfId="129"/>
    <tableColumn id="10" xr3:uid="{00000000-0010-0000-0000-00000A000000}" name="Low95" dataDxfId="128" totalsRowDxfId="127"/>
    <tableColumn id="12" xr3:uid="{00000000-0010-0000-0000-00000C000000}" name="High95" dataDxfId="126" totalsRowDxfId="125"/>
    <tableColumn id="13" xr3:uid="{00000000-0010-0000-0000-00000D000000}" name="final_count" dataDxfId="124" totalsRowDxfId="123"/>
    <tableColumn id="14" xr3:uid="{00000000-0010-0000-0000-00000E000000}" name="perc_of_final_count" dataDxfId="122" totalsRowDxfId="121"/>
    <tableColumn id="15" xr3:uid="{00000000-0010-0000-0000-00000F000000}" name="count_in_PI" dataDxfId="120" totalsRowDxfId="119"/>
    <tableColumn id="16" xr3:uid="{00000000-0010-0000-0000-000010000000}" name="raw_value" dataDxfId="118" totalsRowDxfId="117"/>
    <tableColumn id="11" xr3:uid="{00000000-0010-0000-0000-00000B000000}" name="model_perc_final_count" totalsRowFunction="count" dataDxfId="116" totalsRowDxfId="115"/>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cver.edu.au/publications/publications/all-publications/a-guide-to-the-apprentices-and-trainees-estimates-review-dashboard" TargetMode="External"/></Relationships>
</file>

<file path=xl/worksheets/_rels/sheet2.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hyperlink" Target="http://www.ncver.edu.au/data/collection/apprentices-and-trainees-collection" TargetMode="External"/><Relationship Id="rId2" Type="http://schemas.openxmlformats.org/officeDocument/2006/relationships/hyperlink" Target="http://www.ncver.edu.au/data/collection/apprentices-and-trainees-collection" TargetMode="External"/><Relationship Id="rId1" Type="http://schemas.openxmlformats.org/officeDocument/2006/relationships/hyperlink" Target="https://www.ncver.edu.au/publications/publications/all-publications/estimation-of-apprentice-and-trainee-statistics" TargetMode="External"/><Relationship Id="rId4" Type="http://schemas.openxmlformats.org/officeDocument/2006/relationships/hyperlink" Target="https://www.ncver.edu.au/publications/publications/all-publications/estimation-of-apprentice-and-trainee-statistics" TargetMode="Externa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ncver.edu.au/publications/publications/all-publications/a-guide-to-the-apprentices-and-trainees-estimates-review-dashboard" TargetMode="External"/><Relationship Id="rId5" Type="http://schemas.microsoft.com/office/2007/relationships/slicer" Target="../slicers/slicer1.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microsoft.com/office/2007/relationships/slicer" Target="../slicers/slicer2.xml"/><Relationship Id="rId3" Type="http://schemas.openxmlformats.org/officeDocument/2006/relationships/pivotTable" Target="../pivotTables/pivotTable8.xml"/><Relationship Id="rId7" Type="http://schemas.openxmlformats.org/officeDocument/2006/relationships/drawing" Target="../drawings/drawing4.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printerSettings" Target="../printerSettings/printerSettings3.bin"/><Relationship Id="rId5" Type="http://schemas.openxmlformats.org/officeDocument/2006/relationships/hyperlink" Target="https://www.ncver.edu.au/publications/publications/all-publications/a-guide-to-the-apprentices-and-trainees-estimates-review-dashboard" TargetMode="External"/><Relationship Id="rId4" Type="http://schemas.openxmlformats.org/officeDocument/2006/relationships/pivotTable" Target="../pivotTables/pivotTable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B1:K79"/>
  <sheetViews>
    <sheetView showGridLines="0" showRowColHeaders="0" tabSelected="1" zoomScale="80" zoomScaleNormal="80" workbookViewId="0">
      <selection activeCell="B2" sqref="B2:K3"/>
    </sheetView>
  </sheetViews>
  <sheetFormatPr defaultRowHeight="15" x14ac:dyDescent="0.25"/>
  <cols>
    <col min="1" max="1" width="2.42578125" customWidth="1"/>
    <col min="2" max="2" width="9.28515625" customWidth="1"/>
    <col min="3" max="3" width="7.85546875" customWidth="1"/>
    <col min="4" max="4" width="26.140625" customWidth="1"/>
    <col min="5" max="5" width="27.28515625" customWidth="1"/>
    <col min="6" max="6" width="4.5703125" customWidth="1"/>
    <col min="7" max="9" width="8.85546875" customWidth="1"/>
    <col min="10" max="10" width="10.28515625" bestFit="1" customWidth="1"/>
    <col min="11" max="11" width="22.140625" bestFit="1" customWidth="1"/>
    <col min="12" max="13" width="9.28515625" customWidth="1"/>
  </cols>
  <sheetData>
    <row r="1" spans="2:11" ht="9.75" customHeight="1" x14ac:dyDescent="0.25"/>
    <row r="2" spans="2:11" ht="17.25" customHeight="1" x14ac:dyDescent="0.25">
      <c r="B2" s="241" t="s">
        <v>125</v>
      </c>
      <c r="C2" s="241"/>
      <c r="D2" s="241"/>
      <c r="E2" s="241"/>
      <c r="F2" s="241"/>
      <c r="G2" s="241"/>
      <c r="H2" s="241"/>
      <c r="I2" s="241"/>
      <c r="J2" s="241"/>
      <c r="K2" s="241"/>
    </row>
    <row r="3" spans="2:11" ht="17.25" customHeight="1" x14ac:dyDescent="0.25">
      <c r="B3" s="241"/>
      <c r="C3" s="241"/>
      <c r="D3" s="241"/>
      <c r="E3" s="241"/>
      <c r="F3" s="241"/>
      <c r="G3" s="241"/>
      <c r="H3" s="241"/>
      <c r="I3" s="241"/>
      <c r="J3" s="241"/>
      <c r="K3" s="241"/>
    </row>
    <row r="4" spans="2:11" ht="9" customHeight="1" x14ac:dyDescent="0.25">
      <c r="B4" s="120"/>
      <c r="C4" s="120"/>
      <c r="D4" s="120"/>
      <c r="E4" s="120"/>
      <c r="F4" s="120"/>
      <c r="G4" s="120"/>
      <c r="H4" s="120"/>
      <c r="I4" s="120"/>
      <c r="J4" s="120"/>
      <c r="K4" s="120"/>
    </row>
    <row r="5" spans="2:11" ht="18.75" customHeight="1" x14ac:dyDescent="0.25">
      <c r="B5" s="242" t="s">
        <v>96</v>
      </c>
      <c r="C5" s="242"/>
      <c r="D5" s="242"/>
      <c r="E5" s="242"/>
      <c r="F5" s="242"/>
      <c r="G5" s="242"/>
      <c r="H5" s="242"/>
      <c r="I5" s="242"/>
      <c r="J5" s="242"/>
      <c r="K5" s="242"/>
    </row>
    <row r="6" spans="2:11" ht="9.75" customHeight="1" x14ac:dyDescent="0.25">
      <c r="B6" s="119"/>
      <c r="C6" s="119"/>
      <c r="D6" s="119"/>
      <c r="E6" s="119"/>
      <c r="F6" s="119"/>
      <c r="G6" s="119"/>
      <c r="H6" s="119"/>
      <c r="I6" s="119"/>
      <c r="J6" s="119"/>
      <c r="K6" s="119"/>
    </row>
    <row r="7" spans="2:11" ht="15" customHeight="1" x14ac:dyDescent="0.25">
      <c r="B7" s="232" t="s">
        <v>116</v>
      </c>
      <c r="C7" s="232"/>
      <c r="D7" s="232"/>
      <c r="E7" s="233" t="s">
        <v>113</v>
      </c>
      <c r="F7" s="233"/>
      <c r="G7" s="233"/>
      <c r="H7" s="233"/>
      <c r="I7" s="233"/>
      <c r="J7" s="233"/>
      <c r="K7" s="233"/>
    </row>
    <row r="8" spans="2:11" s="65" customFormat="1" ht="15" customHeight="1" x14ac:dyDescent="0.2">
      <c r="B8" s="232" t="s">
        <v>90</v>
      </c>
      <c r="C8" s="232"/>
      <c r="E8" s="234" t="s">
        <v>135</v>
      </c>
      <c r="F8" s="234"/>
      <c r="G8" s="234"/>
      <c r="H8" s="234"/>
      <c r="I8" s="234"/>
      <c r="J8" s="234"/>
      <c r="K8" s="234"/>
    </row>
    <row r="9" spans="2:11" s="65" customFormat="1" ht="15" customHeight="1" x14ac:dyDescent="0.2">
      <c r="B9" s="232" t="s">
        <v>109</v>
      </c>
      <c r="C9" s="232"/>
      <c r="E9" s="234" t="s">
        <v>114</v>
      </c>
      <c r="F9" s="234"/>
      <c r="G9" s="234"/>
      <c r="H9" s="234"/>
      <c r="I9" s="234"/>
      <c r="J9" s="234"/>
      <c r="K9" s="234"/>
    </row>
    <row r="10" spans="2:11" s="65" customFormat="1" ht="15" customHeight="1" x14ac:dyDescent="0.2">
      <c r="B10" s="232" t="s">
        <v>46</v>
      </c>
      <c r="C10" s="232"/>
      <c r="E10" s="234" t="s">
        <v>164</v>
      </c>
      <c r="F10" s="234"/>
      <c r="G10" s="234"/>
      <c r="H10" s="234"/>
      <c r="I10" s="234"/>
      <c r="J10" s="234"/>
      <c r="K10" s="234"/>
    </row>
    <row r="11" spans="2:11" s="65" customFormat="1" ht="15" customHeight="1" x14ac:dyDescent="0.2">
      <c r="B11" s="221" t="s">
        <v>178</v>
      </c>
      <c r="C11" s="221"/>
      <c r="E11" s="222" t="s">
        <v>179</v>
      </c>
      <c r="F11" s="222"/>
      <c r="G11" s="222"/>
      <c r="H11" s="222"/>
      <c r="I11" s="222"/>
      <c r="J11" s="222"/>
      <c r="K11" s="222"/>
    </row>
    <row r="12" spans="2:11" s="65" customFormat="1" ht="9.75" customHeight="1" x14ac:dyDescent="0.2">
      <c r="B12" s="181"/>
      <c r="C12" s="181"/>
      <c r="D12" s="181"/>
      <c r="E12" s="117"/>
      <c r="F12" s="184"/>
      <c r="G12" s="117"/>
      <c r="H12" s="117"/>
      <c r="I12" s="117"/>
      <c r="J12" s="117"/>
    </row>
    <row r="13" spans="2:11" ht="18.75" customHeight="1" x14ac:dyDescent="0.25">
      <c r="B13" s="242" t="s">
        <v>137</v>
      </c>
      <c r="C13" s="242"/>
      <c r="D13" s="242"/>
      <c r="E13" s="242"/>
      <c r="F13" s="242"/>
      <c r="G13" s="242"/>
      <c r="H13" s="242"/>
      <c r="I13" s="242"/>
      <c r="J13" s="242"/>
      <c r="K13" s="242"/>
    </row>
    <row r="14" spans="2:11" ht="9" customHeight="1" x14ac:dyDescent="0.25"/>
    <row r="15" spans="2:11" s="65" customFormat="1" ht="15.75" customHeight="1" x14ac:dyDescent="0.2">
      <c r="B15" s="231" t="s">
        <v>152</v>
      </c>
      <c r="C15" s="231"/>
      <c r="D15" s="231"/>
      <c r="E15" s="231"/>
      <c r="F15" s="231"/>
      <c r="G15" s="231"/>
      <c r="H15" s="231"/>
      <c r="I15" s="231"/>
      <c r="J15" s="231"/>
      <c r="K15" s="231"/>
    </row>
    <row r="16" spans="2:11" s="65" customFormat="1" ht="15.75" customHeight="1" x14ac:dyDescent="0.2">
      <c r="B16" s="231"/>
      <c r="C16" s="231"/>
      <c r="D16" s="231"/>
      <c r="E16" s="231"/>
      <c r="F16" s="231"/>
      <c r="G16" s="231"/>
      <c r="H16" s="231"/>
      <c r="I16" s="231"/>
      <c r="J16" s="231"/>
      <c r="K16" s="231"/>
    </row>
    <row r="17" spans="2:11" s="65" customFormat="1" ht="15.75" customHeight="1" x14ac:dyDescent="0.2">
      <c r="B17" s="231"/>
      <c r="C17" s="231"/>
      <c r="D17" s="231"/>
      <c r="E17" s="231"/>
      <c r="F17" s="231"/>
      <c r="G17" s="231"/>
      <c r="H17" s="231"/>
      <c r="I17" s="231"/>
      <c r="J17" s="231"/>
      <c r="K17" s="231"/>
    </row>
    <row r="18" spans="2:11" s="65" customFormat="1" ht="15.75" customHeight="1" x14ac:dyDescent="0.2">
      <c r="B18" s="231"/>
      <c r="C18" s="231"/>
      <c r="D18" s="231"/>
      <c r="E18" s="231"/>
      <c r="F18" s="231"/>
      <c r="G18" s="231"/>
      <c r="H18" s="231"/>
      <c r="I18" s="231"/>
      <c r="J18" s="231"/>
      <c r="K18" s="231"/>
    </row>
    <row r="19" spans="2:11" s="65" customFormat="1" ht="15.75" customHeight="1" x14ac:dyDescent="0.2">
      <c r="B19" s="231"/>
      <c r="C19" s="231"/>
      <c r="D19" s="231"/>
      <c r="E19" s="231"/>
      <c r="F19" s="231"/>
      <c r="G19" s="231"/>
      <c r="H19" s="231"/>
      <c r="I19" s="231"/>
      <c r="J19" s="231"/>
      <c r="K19" s="231"/>
    </row>
    <row r="20" spans="2:11" s="65" customFormat="1" ht="15" customHeight="1" x14ac:dyDescent="0.2">
      <c r="B20" s="231"/>
      <c r="C20" s="231"/>
      <c r="D20" s="231"/>
      <c r="E20" s="231"/>
      <c r="F20" s="231"/>
      <c r="G20" s="231"/>
      <c r="H20" s="231"/>
      <c r="I20" s="231"/>
      <c r="J20" s="231"/>
      <c r="K20" s="231"/>
    </row>
    <row r="21" spans="2:11" s="65" customFormat="1" ht="21.75" customHeight="1" x14ac:dyDescent="0.2">
      <c r="B21" s="231"/>
      <c r="C21" s="231"/>
      <c r="D21" s="231"/>
      <c r="E21" s="231"/>
      <c r="F21" s="231"/>
      <c r="G21" s="231"/>
      <c r="H21" s="231"/>
      <c r="I21" s="231"/>
      <c r="J21" s="231"/>
      <c r="K21" s="231"/>
    </row>
    <row r="22" spans="2:11" s="65" customFormat="1" ht="15.75" customHeight="1" x14ac:dyDescent="0.2">
      <c r="B22" s="231"/>
      <c r="C22" s="231"/>
      <c r="D22" s="231"/>
      <c r="E22" s="231"/>
      <c r="F22" s="231"/>
      <c r="G22" s="231"/>
      <c r="H22" s="231"/>
      <c r="I22" s="231"/>
      <c r="J22" s="231"/>
      <c r="K22" s="231"/>
    </row>
    <row r="23" spans="2:11" s="65" customFormat="1" ht="25.15" customHeight="1" x14ac:dyDescent="0.2">
      <c r="B23" s="231"/>
      <c r="C23" s="231"/>
      <c r="D23" s="231"/>
      <c r="E23" s="231"/>
      <c r="F23" s="231"/>
      <c r="G23" s="231"/>
      <c r="H23" s="231"/>
      <c r="I23" s="231"/>
      <c r="J23" s="231"/>
      <c r="K23" s="231"/>
    </row>
    <row r="24" spans="2:11" s="65" customFormat="1" ht="12" customHeight="1" x14ac:dyDescent="0.2">
      <c r="B24" s="185"/>
      <c r="C24" s="185"/>
      <c r="D24" s="185"/>
      <c r="E24" s="185"/>
      <c r="F24" s="185"/>
      <c r="G24" s="185"/>
      <c r="H24" s="185"/>
      <c r="I24" s="185"/>
      <c r="J24" s="185"/>
      <c r="K24" s="185"/>
    </row>
    <row r="25" spans="2:11" s="65" customFormat="1" ht="15.75" customHeight="1" x14ac:dyDescent="0.2">
      <c r="B25" s="185"/>
      <c r="C25" s="185"/>
      <c r="D25" s="185"/>
      <c r="E25" s="185"/>
      <c r="F25" s="185"/>
      <c r="G25" s="185"/>
      <c r="H25" s="185"/>
      <c r="I25" s="185"/>
      <c r="J25" s="185"/>
      <c r="K25" s="185"/>
    </row>
    <row r="26" spans="2:11" s="65" customFormat="1" ht="15.75" customHeight="1" x14ac:dyDescent="0.2">
      <c r="B26" s="185"/>
      <c r="C26" s="185"/>
      <c r="D26" s="185"/>
      <c r="E26" s="185"/>
      <c r="F26" s="185"/>
      <c r="G26" s="185"/>
      <c r="H26" s="185"/>
      <c r="I26" s="185"/>
      <c r="J26" s="185"/>
      <c r="K26" s="185"/>
    </row>
    <row r="27" spans="2:11" s="65" customFormat="1" ht="15.75" customHeight="1" x14ac:dyDescent="0.2">
      <c r="B27" s="185"/>
      <c r="C27" s="185"/>
      <c r="D27" s="185"/>
      <c r="E27" s="185"/>
      <c r="F27" s="185"/>
      <c r="G27" s="244" t="s">
        <v>145</v>
      </c>
      <c r="H27" s="244"/>
      <c r="I27" s="244"/>
      <c r="J27" s="244"/>
      <c r="K27" s="244"/>
    </row>
    <row r="28" spans="2:11" s="65" customFormat="1" ht="15.75" customHeight="1" x14ac:dyDescent="0.2">
      <c r="B28" s="185"/>
      <c r="C28" s="185"/>
      <c r="D28" s="185"/>
      <c r="E28" s="185"/>
      <c r="F28" s="185"/>
      <c r="G28" s="235" t="s">
        <v>147</v>
      </c>
      <c r="H28" s="235" t="s">
        <v>37</v>
      </c>
      <c r="I28" s="235" t="s">
        <v>148</v>
      </c>
      <c r="J28" s="235" t="s">
        <v>23</v>
      </c>
      <c r="K28" s="237" t="s">
        <v>150</v>
      </c>
    </row>
    <row r="29" spans="2:11" s="65" customFormat="1" ht="15.75" customHeight="1" x14ac:dyDescent="0.2">
      <c r="B29" s="185"/>
      <c r="C29" s="185"/>
      <c r="D29" s="185"/>
      <c r="E29" s="185"/>
      <c r="F29" s="185"/>
      <c r="G29" s="236"/>
      <c r="H29" s="236"/>
      <c r="I29" s="236"/>
      <c r="J29" s="236"/>
      <c r="K29" s="238"/>
    </row>
    <row r="30" spans="2:11" s="65" customFormat="1" ht="15.75" customHeight="1" x14ac:dyDescent="0.2">
      <c r="B30" s="185"/>
      <c r="C30" s="185"/>
      <c r="D30" s="185"/>
      <c r="E30" s="185"/>
      <c r="F30" s="185"/>
      <c r="G30" s="194">
        <v>1</v>
      </c>
      <c r="H30" s="195">
        <v>89</v>
      </c>
      <c r="I30" s="205" t="s">
        <v>165</v>
      </c>
      <c r="J30" s="206" t="s">
        <v>146</v>
      </c>
      <c r="K30" s="196"/>
    </row>
    <row r="31" spans="2:11" s="65" customFormat="1" ht="15.75" customHeight="1" x14ac:dyDescent="0.2">
      <c r="B31" s="185"/>
      <c r="C31" s="185"/>
      <c r="D31" s="185"/>
      <c r="E31" s="185"/>
      <c r="F31" s="185"/>
      <c r="G31" s="197">
        <v>2</v>
      </c>
      <c r="H31" s="198">
        <v>90</v>
      </c>
      <c r="I31" s="207" t="s">
        <v>166</v>
      </c>
      <c r="J31" s="207" t="s">
        <v>170</v>
      </c>
      <c r="K31" s="192" t="s">
        <v>106</v>
      </c>
    </row>
    <row r="32" spans="2:11" s="65" customFormat="1" ht="15.75" customHeight="1" x14ac:dyDescent="0.2">
      <c r="B32" s="185"/>
      <c r="C32" s="185"/>
      <c r="D32" s="185"/>
      <c r="E32" s="185"/>
      <c r="F32" s="185"/>
      <c r="G32" s="197">
        <v>3</v>
      </c>
      <c r="H32" s="198">
        <v>91</v>
      </c>
      <c r="I32" s="207" t="s">
        <v>167</v>
      </c>
      <c r="J32" s="207" t="s">
        <v>171</v>
      </c>
      <c r="K32" s="192" t="s">
        <v>107</v>
      </c>
    </row>
    <row r="33" spans="2:11" s="65" customFormat="1" ht="15.75" customHeight="1" x14ac:dyDescent="0.2">
      <c r="B33" s="185"/>
      <c r="C33" s="185"/>
      <c r="D33" s="185"/>
      <c r="E33" s="185"/>
      <c r="F33" s="185"/>
      <c r="G33" s="197">
        <v>4</v>
      </c>
      <c r="H33" s="198">
        <v>92</v>
      </c>
      <c r="I33" s="207" t="s">
        <v>168</v>
      </c>
      <c r="J33" s="207" t="s">
        <v>172</v>
      </c>
      <c r="K33" s="192" t="s">
        <v>149</v>
      </c>
    </row>
    <row r="34" spans="2:11" s="65" customFormat="1" ht="15.75" customHeight="1" x14ac:dyDescent="0.2">
      <c r="B34" s="185"/>
      <c r="C34" s="185"/>
      <c r="D34" s="185"/>
      <c r="E34" s="185"/>
      <c r="F34" s="185"/>
      <c r="G34" s="199">
        <v>5</v>
      </c>
      <c r="H34" s="200">
        <v>93</v>
      </c>
      <c r="I34" s="208" t="s">
        <v>169</v>
      </c>
      <c r="J34" s="208" t="s">
        <v>169</v>
      </c>
      <c r="K34" s="193" t="s">
        <v>24</v>
      </c>
    </row>
    <row r="35" spans="2:11" s="65" customFormat="1" ht="15.75" customHeight="1" x14ac:dyDescent="0.2">
      <c r="B35" s="185"/>
      <c r="C35" s="185"/>
      <c r="D35" s="185"/>
      <c r="E35" s="185"/>
      <c r="F35" s="185"/>
      <c r="G35" s="185"/>
      <c r="H35" s="185"/>
      <c r="I35" s="185"/>
      <c r="J35" s="185"/>
      <c r="K35" s="185"/>
    </row>
    <row r="36" spans="2:11" s="65" customFormat="1" ht="15.75" customHeight="1" x14ac:dyDescent="0.2">
      <c r="B36" s="185"/>
      <c r="C36" s="185"/>
      <c r="D36" s="185"/>
      <c r="E36" s="185"/>
      <c r="F36" s="185"/>
      <c r="G36" s="185"/>
      <c r="H36" s="185"/>
      <c r="I36" s="185"/>
      <c r="J36" s="185"/>
      <c r="K36" s="185"/>
    </row>
    <row r="37" spans="2:11" s="65" customFormat="1" ht="15.75" customHeight="1" x14ac:dyDescent="0.2">
      <c r="B37" s="185"/>
      <c r="C37" s="185"/>
      <c r="D37" s="185"/>
      <c r="E37" s="185"/>
      <c r="F37" s="185"/>
      <c r="G37" s="185"/>
      <c r="H37" s="185"/>
      <c r="I37" s="185"/>
      <c r="J37" s="185"/>
      <c r="K37" s="185"/>
    </row>
    <row r="38" spans="2:11" s="65" customFormat="1" ht="15.75" customHeight="1" x14ac:dyDescent="0.2">
      <c r="B38" s="185"/>
      <c r="C38" s="185"/>
      <c r="D38" s="185"/>
      <c r="E38" s="185"/>
      <c r="F38" s="185"/>
      <c r="G38" s="185"/>
      <c r="H38" s="185"/>
      <c r="I38" s="185"/>
      <c r="J38" s="185"/>
      <c r="K38" s="185"/>
    </row>
    <row r="39" spans="2:11" s="65" customFormat="1" ht="12" customHeight="1" x14ac:dyDescent="0.2">
      <c r="B39" s="185"/>
      <c r="C39" s="185"/>
      <c r="D39" s="185"/>
      <c r="E39" s="185"/>
      <c r="F39" s="185"/>
      <c r="G39" s="185"/>
      <c r="H39" s="185"/>
      <c r="I39" s="185"/>
      <c r="J39" s="185"/>
      <c r="K39" s="185"/>
    </row>
    <row r="40" spans="2:11" s="65" customFormat="1" ht="16.5" customHeight="1" x14ac:dyDescent="0.2">
      <c r="B40" s="231" t="s">
        <v>153</v>
      </c>
      <c r="C40" s="231"/>
      <c r="D40" s="231"/>
      <c r="E40" s="231"/>
      <c r="F40" s="231"/>
      <c r="G40" s="231"/>
      <c r="H40" s="231"/>
      <c r="I40" s="231"/>
      <c r="J40" s="231"/>
      <c r="K40" s="231"/>
    </row>
    <row r="41" spans="2:11" s="65" customFormat="1" ht="16.5" customHeight="1" x14ac:dyDescent="0.2">
      <c r="B41" s="231"/>
      <c r="C41" s="231"/>
      <c r="D41" s="231"/>
      <c r="E41" s="231"/>
      <c r="F41" s="231"/>
      <c r="G41" s="231"/>
      <c r="H41" s="231"/>
      <c r="I41" s="231"/>
      <c r="J41" s="231"/>
      <c r="K41" s="231"/>
    </row>
    <row r="42" spans="2:11" s="65" customFormat="1" ht="15.75" customHeight="1" x14ac:dyDescent="0.2">
      <c r="B42" s="231"/>
      <c r="C42" s="231"/>
      <c r="D42" s="231"/>
      <c r="E42" s="231"/>
      <c r="F42" s="231"/>
      <c r="G42" s="231"/>
      <c r="H42" s="231"/>
      <c r="I42" s="231"/>
      <c r="J42" s="231"/>
      <c r="K42" s="231"/>
    </row>
    <row r="43" spans="2:11" s="65" customFormat="1" ht="15.75" customHeight="1" x14ac:dyDescent="0.2">
      <c r="B43" s="231"/>
      <c r="C43" s="231"/>
      <c r="D43" s="231"/>
      <c r="E43" s="231"/>
      <c r="F43" s="231"/>
      <c r="G43" s="231"/>
      <c r="H43" s="231"/>
      <c r="I43" s="231"/>
      <c r="J43" s="231"/>
      <c r="K43" s="231"/>
    </row>
    <row r="44" spans="2:11" s="65" customFormat="1" ht="15.75" customHeight="1" x14ac:dyDescent="0.2">
      <c r="B44" s="231"/>
      <c r="C44" s="231"/>
      <c r="D44" s="231"/>
      <c r="E44" s="231"/>
      <c r="F44" s="231"/>
      <c r="G44" s="231"/>
      <c r="H44" s="231"/>
      <c r="I44" s="231"/>
      <c r="J44" s="231"/>
      <c r="K44" s="231"/>
    </row>
    <row r="45" spans="2:11" s="65" customFormat="1" ht="20.45" customHeight="1" x14ac:dyDescent="0.2">
      <c r="B45" s="231"/>
      <c r="C45" s="231"/>
      <c r="D45" s="231"/>
      <c r="E45" s="231"/>
      <c r="F45" s="231"/>
      <c r="G45" s="231"/>
      <c r="H45" s="231"/>
      <c r="I45" s="231"/>
      <c r="J45" s="231"/>
      <c r="K45" s="231"/>
    </row>
    <row r="46" spans="2:11" s="65" customFormat="1" ht="9" customHeight="1" x14ac:dyDescent="0.2">
      <c r="G46" s="183"/>
      <c r="H46" s="183"/>
      <c r="I46" s="183"/>
      <c r="J46" s="183"/>
      <c r="K46" s="183"/>
    </row>
    <row r="47" spans="2:11" s="65" customFormat="1" ht="18.75" customHeight="1" x14ac:dyDescent="0.2">
      <c r="B47" s="242" t="s">
        <v>138</v>
      </c>
      <c r="C47" s="242"/>
      <c r="D47" s="242"/>
      <c r="E47" s="242"/>
      <c r="F47" s="242"/>
      <c r="G47" s="242"/>
      <c r="H47" s="242"/>
      <c r="I47" s="242"/>
      <c r="J47" s="242"/>
      <c r="K47" s="242"/>
    </row>
    <row r="48" spans="2:11" s="65" customFormat="1" ht="9" customHeight="1" x14ac:dyDescent="0.25">
      <c r="B48"/>
      <c r="C48"/>
      <c r="D48"/>
      <c r="E48"/>
      <c r="F48"/>
      <c r="G48"/>
      <c r="H48"/>
      <c r="I48"/>
      <c r="J48"/>
      <c r="K48"/>
    </row>
    <row r="49" spans="2:11" s="65" customFormat="1" ht="15.75" customHeight="1" x14ac:dyDescent="0.2">
      <c r="B49" s="231" t="s">
        <v>162</v>
      </c>
      <c r="C49" s="231"/>
      <c r="D49" s="231"/>
      <c r="E49" s="231"/>
      <c r="F49" s="231"/>
      <c r="G49" s="231"/>
      <c r="H49" s="231"/>
      <c r="I49" s="231"/>
      <c r="J49" s="231"/>
      <c r="K49" s="231"/>
    </row>
    <row r="50" spans="2:11" s="65" customFormat="1" ht="15.75" customHeight="1" x14ac:dyDescent="0.2">
      <c r="B50" s="231"/>
      <c r="C50" s="231"/>
      <c r="D50" s="231"/>
      <c r="E50" s="231"/>
      <c r="F50" s="231"/>
      <c r="G50" s="231"/>
      <c r="H50" s="231"/>
      <c r="I50" s="231"/>
      <c r="J50" s="231"/>
      <c r="K50" s="231"/>
    </row>
    <row r="51" spans="2:11" s="65" customFormat="1" ht="15.75" customHeight="1" x14ac:dyDescent="0.2">
      <c r="B51" s="231"/>
      <c r="C51" s="231"/>
      <c r="D51" s="231"/>
      <c r="E51" s="231"/>
      <c r="F51" s="231"/>
      <c r="G51" s="231"/>
      <c r="H51" s="231"/>
      <c r="I51" s="231"/>
      <c r="J51" s="231"/>
      <c r="K51" s="231"/>
    </row>
    <row r="52" spans="2:11" s="65" customFormat="1" ht="15.75" customHeight="1" x14ac:dyDescent="0.2">
      <c r="B52" s="231"/>
      <c r="C52" s="231"/>
      <c r="D52" s="231"/>
      <c r="E52" s="231"/>
      <c r="F52" s="231"/>
      <c r="G52" s="231"/>
      <c r="H52" s="231"/>
      <c r="I52" s="231"/>
      <c r="J52" s="231"/>
      <c r="K52" s="231"/>
    </row>
    <row r="53" spans="2:11" s="65" customFormat="1" ht="15.75" customHeight="1" x14ac:dyDescent="0.2">
      <c r="B53" s="231"/>
      <c r="C53" s="231"/>
      <c r="D53" s="231"/>
      <c r="E53" s="231"/>
      <c r="F53" s="231"/>
      <c r="G53" s="231"/>
      <c r="H53" s="231"/>
      <c r="I53" s="231"/>
      <c r="J53" s="231"/>
      <c r="K53" s="231"/>
    </row>
    <row r="54" spans="2:11" s="65" customFormat="1" ht="15.75" customHeight="1" x14ac:dyDescent="0.2">
      <c r="B54" s="231"/>
      <c r="C54" s="231"/>
      <c r="D54" s="231"/>
      <c r="E54" s="231"/>
      <c r="F54" s="231"/>
      <c r="G54" s="231"/>
      <c r="H54" s="231"/>
      <c r="I54" s="231"/>
      <c r="J54" s="231"/>
      <c r="K54" s="231"/>
    </row>
    <row r="55" spans="2:11" s="65" customFormat="1" ht="15.75" customHeight="1" x14ac:dyDescent="0.2">
      <c r="B55" s="231"/>
      <c r="C55" s="231"/>
      <c r="D55" s="231"/>
      <c r="E55" s="231"/>
      <c r="F55" s="231"/>
      <c r="G55" s="231"/>
      <c r="H55" s="231"/>
      <c r="I55" s="231"/>
      <c r="J55" s="231"/>
      <c r="K55" s="231"/>
    </row>
    <row r="56" spans="2:11" s="65" customFormat="1" ht="15.75" customHeight="1" x14ac:dyDescent="0.2">
      <c r="B56" s="231"/>
      <c r="C56" s="231"/>
      <c r="D56" s="231"/>
      <c r="E56" s="231"/>
      <c r="F56" s="231"/>
      <c r="G56" s="231"/>
      <c r="H56" s="231"/>
      <c r="I56" s="231"/>
      <c r="J56" s="231"/>
      <c r="K56" s="231"/>
    </row>
    <row r="57" spans="2:11" s="65" customFormat="1" ht="15.75" customHeight="1" x14ac:dyDescent="0.2">
      <c r="B57" s="231"/>
      <c r="C57" s="231"/>
      <c r="D57" s="231"/>
      <c r="E57" s="231"/>
      <c r="F57" s="231"/>
      <c r="G57" s="231"/>
      <c r="H57" s="231"/>
      <c r="I57" s="231"/>
      <c r="J57" s="231"/>
      <c r="K57" s="231"/>
    </row>
    <row r="58" spans="2:11" s="65" customFormat="1" ht="15.75" customHeight="1" x14ac:dyDescent="0.2">
      <c r="B58" s="231"/>
      <c r="C58" s="231"/>
      <c r="D58" s="231"/>
      <c r="E58" s="231"/>
      <c r="F58" s="231"/>
      <c r="G58" s="231"/>
      <c r="H58" s="231"/>
      <c r="I58" s="231"/>
      <c r="J58" s="231"/>
      <c r="K58" s="231"/>
    </row>
    <row r="59" spans="2:11" s="65" customFormat="1" ht="9" customHeight="1" x14ac:dyDescent="0.2">
      <c r="B59" s="231"/>
      <c r="C59" s="231"/>
      <c r="D59" s="231"/>
      <c r="E59" s="231"/>
      <c r="F59" s="231"/>
      <c r="G59" s="231"/>
      <c r="H59" s="231"/>
      <c r="I59" s="231"/>
      <c r="J59" s="231"/>
      <c r="K59" s="231"/>
    </row>
    <row r="60" spans="2:11" s="65" customFormat="1" ht="25.9" customHeight="1" x14ac:dyDescent="0.2">
      <c r="B60" s="231"/>
      <c r="C60" s="231"/>
      <c r="D60" s="231"/>
      <c r="E60" s="231"/>
      <c r="F60" s="231"/>
      <c r="G60" s="231"/>
      <c r="H60" s="231"/>
      <c r="I60" s="231"/>
      <c r="J60" s="231"/>
      <c r="K60" s="231"/>
    </row>
    <row r="61" spans="2:11" s="65" customFormat="1" ht="14.25" customHeight="1" x14ac:dyDescent="0.2">
      <c r="B61" s="243" t="s">
        <v>161</v>
      </c>
      <c r="C61" s="243"/>
      <c r="D61" s="243"/>
      <c r="E61" s="243"/>
      <c r="F61" s="243"/>
      <c r="G61" s="243"/>
      <c r="H61" s="243"/>
      <c r="I61" s="243"/>
      <c r="J61" s="243"/>
      <c r="K61" s="243"/>
    </row>
    <row r="62" spans="2:11" s="65" customFormat="1" ht="9" customHeight="1" x14ac:dyDescent="0.2">
      <c r="B62" s="121"/>
      <c r="C62" s="121"/>
      <c r="D62" s="121"/>
      <c r="E62" s="121"/>
      <c r="F62" s="121"/>
      <c r="G62" s="121"/>
      <c r="H62" s="121"/>
      <c r="I62" s="121"/>
      <c r="J62" s="121"/>
      <c r="K62" s="121"/>
    </row>
    <row r="63" spans="2:11" ht="18" customHeight="1" x14ac:dyDescent="0.25">
      <c r="B63" s="242" t="s">
        <v>115</v>
      </c>
      <c r="C63" s="242"/>
      <c r="D63" s="242"/>
      <c r="E63" s="242"/>
      <c r="F63" s="242"/>
      <c r="G63" s="242"/>
      <c r="H63" s="242"/>
      <c r="I63" s="242"/>
      <c r="J63" s="242"/>
      <c r="K63" s="242"/>
    </row>
    <row r="64" spans="2:11" ht="9.75" customHeight="1" x14ac:dyDescent="0.25">
      <c r="B64" s="119"/>
      <c r="C64" s="119"/>
      <c r="D64" s="119"/>
      <c r="E64" s="119"/>
      <c r="F64" s="119"/>
      <c r="G64" s="119"/>
      <c r="H64" s="119"/>
      <c r="I64" s="119"/>
      <c r="J64" s="119"/>
      <c r="K64" s="119"/>
    </row>
    <row r="65" spans="2:11" ht="15.75" customHeight="1" x14ac:dyDescent="0.25">
      <c r="B65" s="231" t="s">
        <v>108</v>
      </c>
      <c r="C65" s="231"/>
      <c r="D65" s="231"/>
      <c r="E65" s="231"/>
      <c r="F65" s="231"/>
      <c r="G65" s="231"/>
      <c r="H65" s="231"/>
      <c r="I65" s="231"/>
      <c r="J65" s="231"/>
      <c r="K65" s="231"/>
    </row>
    <row r="66" spans="2:11" ht="15.75" customHeight="1" x14ac:dyDescent="0.25">
      <c r="B66" s="231"/>
      <c r="C66" s="231"/>
      <c r="D66" s="231"/>
      <c r="E66" s="231"/>
      <c r="F66" s="231"/>
      <c r="G66" s="231"/>
      <c r="H66" s="231"/>
      <c r="I66" s="231"/>
      <c r="J66" s="231"/>
      <c r="K66" s="231"/>
    </row>
    <row r="67" spans="2:11" ht="15.75" customHeight="1" x14ac:dyDescent="0.25">
      <c r="B67" s="231"/>
      <c r="C67" s="231"/>
      <c r="D67" s="231"/>
      <c r="E67" s="231"/>
      <c r="F67" s="231"/>
      <c r="G67" s="231"/>
      <c r="H67" s="231"/>
      <c r="I67" s="231"/>
      <c r="J67" s="231"/>
      <c r="K67" s="231"/>
    </row>
    <row r="68" spans="2:11" ht="15.75" customHeight="1" x14ac:dyDescent="0.25">
      <c r="B68" s="231"/>
      <c r="C68" s="231"/>
      <c r="D68" s="231"/>
      <c r="E68" s="231"/>
      <c r="F68" s="231"/>
      <c r="G68" s="231"/>
      <c r="H68" s="231"/>
      <c r="I68" s="231"/>
      <c r="J68" s="231"/>
      <c r="K68" s="231"/>
    </row>
    <row r="69" spans="2:11" ht="15.75" customHeight="1" x14ac:dyDescent="0.25">
      <c r="B69" s="231"/>
      <c r="C69" s="231"/>
      <c r="D69" s="231"/>
      <c r="E69" s="231"/>
      <c r="F69" s="231"/>
      <c r="G69" s="231"/>
      <c r="H69" s="231"/>
      <c r="I69" s="231"/>
      <c r="J69" s="231"/>
      <c r="K69" s="231"/>
    </row>
    <row r="70" spans="2:11" ht="12.75" customHeight="1" x14ac:dyDescent="0.25">
      <c r="B70" s="231"/>
      <c r="C70" s="231"/>
      <c r="D70" s="231"/>
      <c r="E70" s="231"/>
      <c r="F70" s="231"/>
      <c r="G70" s="231"/>
      <c r="H70" s="231"/>
      <c r="I70" s="231"/>
      <c r="J70" s="231"/>
      <c r="K70" s="231"/>
    </row>
    <row r="71" spans="2:11" ht="14.25" customHeight="1" x14ac:dyDescent="0.25">
      <c r="B71" s="132"/>
      <c r="C71" s="132"/>
      <c r="D71" s="132"/>
      <c r="E71" s="132"/>
      <c r="F71" s="132"/>
      <c r="G71" s="132"/>
      <c r="H71" s="132"/>
      <c r="I71" s="132"/>
      <c r="J71" s="132"/>
      <c r="K71" s="132"/>
    </row>
    <row r="72" spans="2:11" ht="14.25" customHeight="1" x14ac:dyDescent="0.25">
      <c r="B72" s="239" t="str">
        <f>TEXT('Review quarters'!C19,"mmm")&amp;"-"&amp;TEXT('Review quarters'!C19,"yyy")&amp;", "&amp;TEXT('Review quarters'!C20,"mmm")&amp;"-"&amp;TEXT('Review quarters'!C20,"yyy")&amp;", "&amp;TEXT('Review quarters'!C21,"mmm")&amp;"-"&amp;TEXT('Review quarters'!C21,"yyy")&amp;" and "&amp;TEXT('Review quarters'!C22,"mmm")&amp;"-"&amp;TEXT('Review quarters'!C22,"yyy")&amp;"."</f>
        <v>Mar-2021, Jun-2021, Sep-2021 and Dec-2021.</v>
      </c>
      <c r="C72" s="239"/>
      <c r="D72" s="239"/>
      <c r="E72" s="239"/>
      <c r="F72" s="239"/>
      <c r="G72" s="239"/>
      <c r="H72" s="239"/>
      <c r="I72" s="239"/>
      <c r="J72" s="239"/>
      <c r="K72" s="239"/>
    </row>
    <row r="73" spans="2:11" ht="14.25" customHeight="1" x14ac:dyDescent="0.25">
      <c r="B73" s="133"/>
      <c r="C73" s="132"/>
      <c r="D73" s="132"/>
      <c r="E73" s="132"/>
      <c r="F73" s="132"/>
      <c r="G73" s="132"/>
      <c r="H73" s="132"/>
      <c r="I73" s="132"/>
      <c r="J73" s="132"/>
      <c r="K73" s="132"/>
    </row>
    <row r="74" spans="2:11" ht="14.25" customHeight="1" x14ac:dyDescent="0.25">
      <c r="B74" s="240" t="s">
        <v>105</v>
      </c>
      <c r="C74" s="240"/>
      <c r="D74" s="240"/>
      <c r="E74" s="240"/>
      <c r="F74" s="240"/>
      <c r="G74" s="240"/>
      <c r="H74" s="240"/>
      <c r="I74" s="240"/>
      <c r="J74" s="240"/>
      <c r="K74" s="240"/>
    </row>
    <row r="75" spans="2:11" ht="14.25" customHeight="1" x14ac:dyDescent="0.25">
      <c r="B75" s="133"/>
      <c r="C75" s="132"/>
      <c r="D75" s="132"/>
      <c r="E75" s="132"/>
      <c r="F75" s="132"/>
      <c r="G75" s="132"/>
      <c r="H75" s="132"/>
      <c r="I75" s="132"/>
      <c r="J75" s="132"/>
      <c r="K75" s="132"/>
    </row>
    <row r="76" spans="2:11" ht="14.25" customHeight="1" x14ac:dyDescent="0.25">
      <c r="B76" s="239" t="str">
        <f>TEXT('Review quarters'!C29,"mmm")&amp;"-"&amp;TEXT('Review quarters'!C29,"yyy")&amp;", "&amp;TEXT('Review quarters'!C30,"mmm")&amp;"-"&amp;TEXT('Review quarters'!C30,"yyy")&amp;", "&amp;TEXT('Review quarters'!C31,"mmm")&amp;"-"&amp;TEXT('Review quarters'!C31,"yyy")&amp;" and "&amp;TEXT('Review quarters'!C32,"mmm")&amp;"-"&amp;TEXT('Review quarters'!C32,"yyy")&amp;"."</f>
        <v>Mar-2020, Jun-2020, Sep-2020 and Dec-2020.</v>
      </c>
      <c r="C76" s="239"/>
      <c r="D76" s="239"/>
      <c r="E76" s="239"/>
      <c r="F76" s="239"/>
      <c r="G76" s="239"/>
      <c r="H76" s="239"/>
      <c r="I76" s="239"/>
      <c r="J76" s="239"/>
      <c r="K76" s="239"/>
    </row>
    <row r="77" spans="2:11" ht="9.75" customHeight="1" x14ac:dyDescent="0.25">
      <c r="B77" s="119"/>
      <c r="C77" s="119"/>
      <c r="D77" s="119"/>
      <c r="E77" s="119"/>
      <c r="F77" s="119"/>
      <c r="G77" s="119"/>
      <c r="H77" s="119"/>
      <c r="I77" s="119"/>
      <c r="J77" s="119"/>
      <c r="K77" s="119"/>
    </row>
    <row r="78" spans="2:11" ht="4.5" customHeight="1" x14ac:dyDescent="0.25"/>
    <row r="79" spans="2:11" ht="15.75" customHeight="1" x14ac:dyDescent="0.25"/>
  </sheetData>
  <sheetProtection selectLockedCells="1"/>
  <mergeCells count="27">
    <mergeCell ref="B76:K76"/>
    <mergeCell ref="B65:K70"/>
    <mergeCell ref="B74:K74"/>
    <mergeCell ref="B2:K3"/>
    <mergeCell ref="B13:K13"/>
    <mergeCell ref="B63:K63"/>
    <mergeCell ref="B5:K5"/>
    <mergeCell ref="B8:C8"/>
    <mergeCell ref="B9:C9"/>
    <mergeCell ref="B10:C10"/>
    <mergeCell ref="B40:K45"/>
    <mergeCell ref="B61:K61"/>
    <mergeCell ref="B15:K23"/>
    <mergeCell ref="B47:K47"/>
    <mergeCell ref="B72:K72"/>
    <mergeCell ref="G27:K27"/>
    <mergeCell ref="B49:K60"/>
    <mergeCell ref="B7:D7"/>
    <mergeCell ref="E7:K7"/>
    <mergeCell ref="E8:K8"/>
    <mergeCell ref="E9:K9"/>
    <mergeCell ref="E10:K10"/>
    <mergeCell ref="G28:G29"/>
    <mergeCell ref="H28:H29"/>
    <mergeCell ref="I28:I29"/>
    <mergeCell ref="J28:J29"/>
    <mergeCell ref="K28:K29"/>
  </mergeCells>
  <hyperlinks>
    <hyperlink ref="B9" location="'Summary table'!A1" display="Summary" xr:uid="{00000000-0004-0000-0000-000000000000}"/>
    <hyperlink ref="B61" r:id="rId1" xr:uid="{00000000-0004-0000-0000-000001000000}"/>
    <hyperlink ref="B7:D7" location="'Glossary and explanatory notes'!A1" display="Glossary and explanatory notes" xr:uid="{00000000-0004-0000-0000-000002000000}"/>
    <hyperlink ref="B8:C8" location="DASHBOARD!A1" display="Dashboard" xr:uid="{00000000-0004-0000-0000-000003000000}"/>
    <hyperlink ref="B10:C10" location="'Review quarters'!A1" display="Review quarters" xr:uid="{00000000-0004-0000-0000-000004000000}"/>
    <hyperlink ref="B11" location="'Copyright information'!A1" display="Copyright" xr:uid="{1558F288-4300-4095-933E-BE2A8A7959D4}"/>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Z420"/>
  <sheetViews>
    <sheetView topLeftCell="B1" zoomScale="90" zoomScaleNormal="90" workbookViewId="0">
      <pane ySplit="1" topLeftCell="A2" activePane="bottomLeft" state="frozen"/>
      <selection pane="bottomLeft"/>
    </sheetView>
  </sheetViews>
  <sheetFormatPr defaultRowHeight="15" x14ac:dyDescent="0.25"/>
  <cols>
    <col min="1" max="1" width="20.42578125" style="96" hidden="1" customWidth="1"/>
    <col min="2" max="2" width="4.42578125" style="3" bestFit="1" customWidth="1"/>
    <col min="3" max="3" width="25.7109375" style="2" bestFit="1" customWidth="1"/>
    <col min="4" max="4" width="25.42578125" style="2" bestFit="1" customWidth="1"/>
    <col min="5" max="5" width="19.85546875" bestFit="1" customWidth="1"/>
    <col min="6" max="6" width="20.28515625" bestFit="1" customWidth="1"/>
    <col min="7" max="7" width="17.42578125" style="69" bestFit="1" customWidth="1"/>
    <col min="8" max="8" width="11.28515625" style="2" bestFit="1" customWidth="1"/>
    <col min="9" max="9" width="9.140625" customWidth="1"/>
    <col min="10" max="10" width="11.42578125" bestFit="1" customWidth="1"/>
    <col min="11" max="11" width="9.5703125" bestFit="1" customWidth="1"/>
    <col min="12" max="12" width="9.7109375" bestFit="1" customWidth="1"/>
    <col min="13" max="13" width="13.28515625" style="2" bestFit="1" customWidth="1"/>
    <col min="14" max="14" width="21.28515625" bestFit="1" customWidth="1"/>
    <col min="15" max="15" width="13.7109375" bestFit="1" customWidth="1"/>
    <col min="16" max="16" width="12.5703125" customWidth="1"/>
    <col min="17" max="17" width="25.28515625" bestFit="1" customWidth="1"/>
    <col min="18" max="18" width="6.42578125" hidden="1" customWidth="1"/>
    <col min="19" max="19" width="3.28515625" customWidth="1"/>
    <col min="20" max="23" width="7.85546875" customWidth="1"/>
    <col min="24" max="24" width="1.7109375" customWidth="1"/>
  </cols>
  <sheetData>
    <row r="1" spans="1:26" x14ac:dyDescent="0.25">
      <c r="A1" t="s">
        <v>30</v>
      </c>
      <c r="B1" t="s">
        <v>16</v>
      </c>
      <c r="C1" s="2" t="s">
        <v>22</v>
      </c>
      <c r="D1" s="2" t="s">
        <v>11</v>
      </c>
      <c r="E1" s="2" t="s">
        <v>17</v>
      </c>
      <c r="F1" s="2" t="s">
        <v>18</v>
      </c>
      <c r="G1" s="2" t="s">
        <v>76</v>
      </c>
      <c r="H1" s="2" t="s">
        <v>23</v>
      </c>
      <c r="I1" s="2" t="s">
        <v>60</v>
      </c>
      <c r="J1" s="2" t="s">
        <v>10</v>
      </c>
      <c r="K1" s="2" t="s">
        <v>52</v>
      </c>
      <c r="L1" s="2" t="s">
        <v>53</v>
      </c>
      <c r="M1" s="2" t="s">
        <v>19</v>
      </c>
      <c r="N1" s="2" t="s">
        <v>20</v>
      </c>
      <c r="O1" s="2" t="s">
        <v>26</v>
      </c>
      <c r="P1" s="2" t="s">
        <v>94</v>
      </c>
      <c r="Q1" s="2" t="s">
        <v>95</v>
      </c>
      <c r="R1" s="95" t="s">
        <v>29</v>
      </c>
    </row>
    <row r="2" spans="1:26" x14ac:dyDescent="0.25">
      <c r="A2" s="96" t="str">
        <f t="shared" ref="A2:A65" si="0">CONCATENATE(C2,D2,G2,J2)</f>
        <v>AustraliaCancellations/withdrawals43891Initial</v>
      </c>
      <c r="B2" s="3">
        <v>1</v>
      </c>
      <c r="C2" s="2" t="s">
        <v>1</v>
      </c>
      <c r="D2" s="2" t="s">
        <v>77</v>
      </c>
      <c r="E2">
        <v>2020.3</v>
      </c>
      <c r="F2">
        <v>104</v>
      </c>
      <c r="G2" s="70">
        <v>43891</v>
      </c>
      <c r="H2">
        <v>20480</v>
      </c>
      <c r="I2">
        <v>0</v>
      </c>
      <c r="J2" s="2" t="s">
        <v>31</v>
      </c>
      <c r="K2">
        <v>19563</v>
      </c>
      <c r="L2">
        <v>21397</v>
      </c>
      <c r="M2">
        <v>20979</v>
      </c>
      <c r="N2">
        <v>97.6</v>
      </c>
      <c r="O2" s="2" t="s">
        <v>28</v>
      </c>
      <c r="P2">
        <v>16436</v>
      </c>
      <c r="Q2">
        <v>0</v>
      </c>
      <c r="R2" s="96">
        <f>COUNT(B2:B1048576)</f>
        <v>288</v>
      </c>
      <c r="S2" s="32"/>
    </row>
    <row r="3" spans="1:26" x14ac:dyDescent="0.25">
      <c r="A3" s="96" t="str">
        <f t="shared" si="0"/>
        <v>AustraliaCancellations/withdrawals438911st revision</v>
      </c>
      <c r="B3" s="3">
        <v>2</v>
      </c>
      <c r="C3" s="2" t="s">
        <v>1</v>
      </c>
      <c r="D3" s="2" t="s">
        <v>77</v>
      </c>
      <c r="E3">
        <v>2020.3</v>
      </c>
      <c r="F3">
        <v>105</v>
      </c>
      <c r="G3" s="70">
        <v>43891</v>
      </c>
      <c r="H3">
        <v>20868</v>
      </c>
      <c r="I3">
        <v>0</v>
      </c>
      <c r="J3" s="2" t="s">
        <v>0</v>
      </c>
      <c r="K3">
        <v>20277</v>
      </c>
      <c r="L3">
        <v>21459</v>
      </c>
      <c r="M3">
        <v>20979</v>
      </c>
      <c r="N3">
        <v>99.5</v>
      </c>
      <c r="O3" s="2" t="s">
        <v>28</v>
      </c>
      <c r="P3">
        <v>18767</v>
      </c>
      <c r="Q3">
        <v>0</v>
      </c>
      <c r="R3" s="97"/>
      <c r="S3" s="2"/>
      <c r="T3" s="245" t="s">
        <v>173</v>
      </c>
      <c r="U3" s="245"/>
      <c r="V3" s="245"/>
      <c r="W3" s="245"/>
      <c r="Y3" s="246"/>
      <c r="Z3" s="246"/>
    </row>
    <row r="4" spans="1:26" ht="15" customHeight="1" x14ac:dyDescent="0.25">
      <c r="A4" s="96" t="str">
        <f t="shared" si="0"/>
        <v>AustraliaCancellations/withdrawals43983Initial</v>
      </c>
      <c r="B4" s="3">
        <v>3</v>
      </c>
      <c r="C4" s="2" t="s">
        <v>1</v>
      </c>
      <c r="D4" s="2" t="s">
        <v>77</v>
      </c>
      <c r="E4">
        <v>2020.4</v>
      </c>
      <c r="F4">
        <v>105</v>
      </c>
      <c r="G4" s="70">
        <v>43983</v>
      </c>
      <c r="H4">
        <v>15123</v>
      </c>
      <c r="I4">
        <v>0</v>
      </c>
      <c r="J4" s="2" t="s">
        <v>31</v>
      </c>
      <c r="K4">
        <v>14366</v>
      </c>
      <c r="L4">
        <v>15880</v>
      </c>
      <c r="M4">
        <v>14919</v>
      </c>
      <c r="N4">
        <v>101.4</v>
      </c>
      <c r="O4" s="2" t="s">
        <v>28</v>
      </c>
      <c r="P4">
        <v>12311</v>
      </c>
      <c r="Q4">
        <v>0</v>
      </c>
      <c r="R4" s="97"/>
      <c r="S4" s="2"/>
      <c r="T4" s="245"/>
      <c r="U4" s="245"/>
      <c r="V4" s="245"/>
      <c r="W4" s="245"/>
      <c r="Y4" s="93"/>
    </row>
    <row r="5" spans="1:26" x14ac:dyDescent="0.25">
      <c r="A5" s="96" t="str">
        <f t="shared" si="0"/>
        <v>AustraliaCancellations/withdrawals439831st revision</v>
      </c>
      <c r="B5" s="3">
        <v>4</v>
      </c>
      <c r="C5" s="2" t="s">
        <v>1</v>
      </c>
      <c r="D5" s="2" t="s">
        <v>77</v>
      </c>
      <c r="E5">
        <v>2020.4</v>
      </c>
      <c r="F5">
        <v>106</v>
      </c>
      <c r="G5" s="70">
        <v>43983</v>
      </c>
      <c r="H5">
        <v>15068</v>
      </c>
      <c r="I5">
        <v>0</v>
      </c>
      <c r="J5" s="2" t="s">
        <v>0</v>
      </c>
      <c r="K5">
        <v>14700</v>
      </c>
      <c r="L5">
        <v>15436</v>
      </c>
      <c r="M5">
        <v>14919</v>
      </c>
      <c r="N5">
        <v>101</v>
      </c>
      <c r="O5" s="2" t="s">
        <v>28</v>
      </c>
      <c r="P5">
        <v>13628</v>
      </c>
      <c r="Q5">
        <v>0</v>
      </c>
      <c r="R5" s="97"/>
      <c r="S5" s="2"/>
    </row>
    <row r="6" spans="1:26" x14ac:dyDescent="0.25">
      <c r="A6" s="96" t="str">
        <f t="shared" si="0"/>
        <v>AustraliaCancellations/withdrawals44075Initial</v>
      </c>
      <c r="B6" s="3">
        <v>5</v>
      </c>
      <c r="C6" s="2" t="s">
        <v>1</v>
      </c>
      <c r="D6" s="2" t="s">
        <v>77</v>
      </c>
      <c r="E6">
        <v>2021.1</v>
      </c>
      <c r="F6">
        <v>106</v>
      </c>
      <c r="G6" s="70">
        <v>44075</v>
      </c>
      <c r="H6">
        <v>16992</v>
      </c>
      <c r="I6">
        <v>0</v>
      </c>
      <c r="J6" s="2" t="s">
        <v>31</v>
      </c>
      <c r="K6">
        <v>16109</v>
      </c>
      <c r="L6">
        <v>17875</v>
      </c>
      <c r="M6">
        <v>16474</v>
      </c>
      <c r="N6">
        <v>103.1</v>
      </c>
      <c r="O6" s="2" t="s">
        <v>28</v>
      </c>
      <c r="P6">
        <v>13887</v>
      </c>
      <c r="Q6">
        <v>0</v>
      </c>
      <c r="R6" s="97"/>
      <c r="S6" s="2"/>
    </row>
    <row r="7" spans="1:26" x14ac:dyDescent="0.25">
      <c r="A7" s="96" t="str">
        <f t="shared" si="0"/>
        <v>AustraliaCancellations/withdrawals440751st revision</v>
      </c>
      <c r="B7" s="3">
        <v>6</v>
      </c>
      <c r="C7" s="2" t="s">
        <v>1</v>
      </c>
      <c r="D7" s="2" t="s">
        <v>77</v>
      </c>
      <c r="E7">
        <v>2021.1</v>
      </c>
      <c r="F7">
        <v>107</v>
      </c>
      <c r="G7" s="70">
        <v>44075</v>
      </c>
      <c r="H7">
        <v>16584</v>
      </c>
      <c r="I7">
        <v>0</v>
      </c>
      <c r="J7" s="2" t="s">
        <v>0</v>
      </c>
      <c r="K7">
        <v>16288</v>
      </c>
      <c r="L7">
        <v>16880</v>
      </c>
      <c r="M7">
        <v>16474</v>
      </c>
      <c r="N7">
        <v>100.7</v>
      </c>
      <c r="O7" s="2" t="s">
        <v>28</v>
      </c>
      <c r="P7">
        <v>15075</v>
      </c>
      <c r="Q7">
        <v>0</v>
      </c>
      <c r="R7" s="97"/>
      <c r="S7" s="2"/>
    </row>
    <row r="8" spans="1:26" x14ac:dyDescent="0.25">
      <c r="A8" s="96" t="str">
        <f t="shared" si="0"/>
        <v>AustraliaCancellations/withdrawals44166Initial</v>
      </c>
      <c r="B8" s="3">
        <v>7</v>
      </c>
      <c r="C8" s="2" t="s">
        <v>1</v>
      </c>
      <c r="D8" s="2" t="s">
        <v>77</v>
      </c>
      <c r="E8">
        <v>2021.2</v>
      </c>
      <c r="F8">
        <v>107</v>
      </c>
      <c r="G8" s="70">
        <v>44166</v>
      </c>
      <c r="H8">
        <v>19140</v>
      </c>
      <c r="I8">
        <v>0</v>
      </c>
      <c r="J8" s="2" t="s">
        <v>31</v>
      </c>
      <c r="K8">
        <v>18435</v>
      </c>
      <c r="L8">
        <v>19845</v>
      </c>
      <c r="M8">
        <v>20007</v>
      </c>
      <c r="N8">
        <v>95.7</v>
      </c>
      <c r="O8" s="2" t="s">
        <v>27</v>
      </c>
      <c r="P8">
        <v>15718</v>
      </c>
      <c r="Q8">
        <v>0</v>
      </c>
      <c r="R8" s="97"/>
      <c r="S8" s="2"/>
    </row>
    <row r="9" spans="1:26" x14ac:dyDescent="0.25">
      <c r="A9" s="96" t="str">
        <f t="shared" si="0"/>
        <v>AustraliaCancellations/withdrawals441661st revision</v>
      </c>
      <c r="B9" s="3">
        <v>8</v>
      </c>
      <c r="C9" s="2" t="s">
        <v>1</v>
      </c>
      <c r="D9" s="2" t="s">
        <v>77</v>
      </c>
      <c r="E9">
        <v>2021.2</v>
      </c>
      <c r="F9">
        <v>108</v>
      </c>
      <c r="G9" s="70">
        <v>44166</v>
      </c>
      <c r="H9">
        <v>19552</v>
      </c>
      <c r="I9">
        <v>0</v>
      </c>
      <c r="J9" s="2" t="s">
        <v>0</v>
      </c>
      <c r="K9">
        <v>19232</v>
      </c>
      <c r="L9">
        <v>19872</v>
      </c>
      <c r="M9">
        <v>20007</v>
      </c>
      <c r="N9">
        <v>97.7</v>
      </c>
      <c r="O9" s="2" t="s">
        <v>27</v>
      </c>
      <c r="P9">
        <v>17803</v>
      </c>
      <c r="Q9">
        <v>0</v>
      </c>
      <c r="R9" s="97"/>
      <c r="S9" s="2"/>
    </row>
    <row r="10" spans="1:26" x14ac:dyDescent="0.25">
      <c r="A10" s="96" t="str">
        <f t="shared" si="0"/>
        <v>AustraliaCommencements44256Initial</v>
      </c>
      <c r="B10" s="3">
        <v>9</v>
      </c>
      <c r="C10" s="2" t="s">
        <v>1</v>
      </c>
      <c r="D10" s="2" t="s">
        <v>78</v>
      </c>
      <c r="E10">
        <v>2021.3</v>
      </c>
      <c r="F10">
        <v>108</v>
      </c>
      <c r="G10" s="70">
        <v>44256</v>
      </c>
      <c r="H10">
        <v>66634</v>
      </c>
      <c r="I10">
        <v>0</v>
      </c>
      <c r="J10" s="2" t="s">
        <v>31</v>
      </c>
      <c r="K10">
        <v>65878</v>
      </c>
      <c r="L10">
        <v>67390</v>
      </c>
      <c r="M10">
        <v>69148</v>
      </c>
      <c r="N10">
        <v>96.4</v>
      </c>
      <c r="O10" s="2" t="s">
        <v>27</v>
      </c>
      <c r="P10">
        <v>64854</v>
      </c>
      <c r="Q10">
        <v>0</v>
      </c>
      <c r="R10" s="97"/>
      <c r="S10" s="2"/>
    </row>
    <row r="11" spans="1:26" x14ac:dyDescent="0.25">
      <c r="A11" s="96" t="str">
        <f t="shared" si="0"/>
        <v>AustraliaCommencements442561st revision</v>
      </c>
      <c r="B11" s="3">
        <v>10</v>
      </c>
      <c r="C11" s="2" t="s">
        <v>1</v>
      </c>
      <c r="D11" s="2" t="s">
        <v>78</v>
      </c>
      <c r="E11">
        <v>2021.3</v>
      </c>
      <c r="F11">
        <v>109</v>
      </c>
      <c r="G11" s="70">
        <v>44256</v>
      </c>
      <c r="H11">
        <v>68910</v>
      </c>
      <c r="I11">
        <v>0</v>
      </c>
      <c r="J11" s="2" t="s">
        <v>0</v>
      </c>
      <c r="K11">
        <v>68606</v>
      </c>
      <c r="L11">
        <v>69214</v>
      </c>
      <c r="M11">
        <v>69148</v>
      </c>
      <c r="N11">
        <v>99.7</v>
      </c>
      <c r="O11" s="2" t="s">
        <v>27</v>
      </c>
      <c r="P11">
        <v>68536</v>
      </c>
      <c r="Q11">
        <v>0</v>
      </c>
      <c r="R11" s="97"/>
      <c r="S11" s="2"/>
    </row>
    <row r="12" spans="1:26" x14ac:dyDescent="0.25">
      <c r="A12" s="96" t="str">
        <f t="shared" si="0"/>
        <v>AustraliaCommencements44348Initial</v>
      </c>
      <c r="B12" s="3">
        <v>11</v>
      </c>
      <c r="C12" s="2" t="s">
        <v>1</v>
      </c>
      <c r="D12" s="2" t="s">
        <v>78</v>
      </c>
      <c r="E12">
        <v>2021.4</v>
      </c>
      <c r="F12">
        <v>109</v>
      </c>
      <c r="G12" s="70">
        <v>44348</v>
      </c>
      <c r="H12">
        <v>47785</v>
      </c>
      <c r="I12">
        <v>0</v>
      </c>
      <c r="J12" s="2" t="s">
        <v>31</v>
      </c>
      <c r="K12">
        <v>46013</v>
      </c>
      <c r="L12">
        <v>49557</v>
      </c>
      <c r="M12">
        <v>48972</v>
      </c>
      <c r="N12">
        <v>97.6</v>
      </c>
      <c r="O12" s="2" t="s">
        <v>28</v>
      </c>
      <c r="P12">
        <v>46200</v>
      </c>
      <c r="Q12">
        <v>0</v>
      </c>
      <c r="R12" s="97"/>
      <c r="S12" s="2"/>
    </row>
    <row r="13" spans="1:26" x14ac:dyDescent="0.25">
      <c r="A13" s="96" t="str">
        <f t="shared" si="0"/>
        <v>AustraliaCommencements443481st revision</v>
      </c>
      <c r="B13" s="3">
        <v>12</v>
      </c>
      <c r="C13" s="2" t="s">
        <v>1</v>
      </c>
      <c r="D13" s="2" t="s">
        <v>78</v>
      </c>
      <c r="E13">
        <v>2021.4</v>
      </c>
      <c r="F13">
        <v>110</v>
      </c>
      <c r="G13" s="70">
        <v>44348</v>
      </c>
      <c r="H13">
        <v>48734</v>
      </c>
      <c r="I13">
        <v>0</v>
      </c>
      <c r="J13" s="2" t="s">
        <v>0</v>
      </c>
      <c r="K13">
        <v>48536</v>
      </c>
      <c r="L13">
        <v>48932</v>
      </c>
      <c r="M13">
        <v>48972</v>
      </c>
      <c r="N13">
        <v>99.5</v>
      </c>
      <c r="O13" s="2" t="s">
        <v>28</v>
      </c>
      <c r="P13">
        <v>48475</v>
      </c>
      <c r="Q13">
        <v>0</v>
      </c>
      <c r="R13" s="97"/>
      <c r="S13" s="2"/>
    </row>
    <row r="14" spans="1:26" x14ac:dyDescent="0.25">
      <c r="A14" s="96" t="str">
        <f t="shared" si="0"/>
        <v>AustraliaCommencements44440Initial</v>
      </c>
      <c r="B14" s="3">
        <v>13</v>
      </c>
      <c r="C14" s="2" t="s">
        <v>1</v>
      </c>
      <c r="D14" s="2" t="s">
        <v>78</v>
      </c>
      <c r="E14">
        <v>2022.1</v>
      </c>
      <c r="F14">
        <v>110</v>
      </c>
      <c r="G14" s="70">
        <v>44440</v>
      </c>
      <c r="H14">
        <v>48751</v>
      </c>
      <c r="I14">
        <v>0</v>
      </c>
      <c r="J14" s="2" t="s">
        <v>31</v>
      </c>
      <c r="K14">
        <v>47141</v>
      </c>
      <c r="L14">
        <v>50361</v>
      </c>
      <c r="M14">
        <v>50025</v>
      </c>
      <c r="N14">
        <v>97.5</v>
      </c>
      <c r="O14" s="2" t="s">
        <v>28</v>
      </c>
      <c r="P14">
        <v>47277</v>
      </c>
      <c r="Q14">
        <v>0</v>
      </c>
      <c r="R14" s="97"/>
      <c r="S14" s="2"/>
    </row>
    <row r="15" spans="1:26" x14ac:dyDescent="0.25">
      <c r="A15" s="96" t="str">
        <f t="shared" si="0"/>
        <v>AustraliaCommencements444401st revision</v>
      </c>
      <c r="B15" s="3">
        <v>14</v>
      </c>
      <c r="C15" s="2" t="s">
        <v>1</v>
      </c>
      <c r="D15" s="2" t="s">
        <v>78</v>
      </c>
      <c r="E15">
        <v>2022.1</v>
      </c>
      <c r="F15">
        <v>111</v>
      </c>
      <c r="G15" s="70">
        <v>44440</v>
      </c>
      <c r="H15">
        <v>49694</v>
      </c>
      <c r="I15">
        <v>0</v>
      </c>
      <c r="J15" s="2" t="s">
        <v>0</v>
      </c>
      <c r="K15">
        <v>49481</v>
      </c>
      <c r="L15">
        <v>49907</v>
      </c>
      <c r="M15">
        <v>50025</v>
      </c>
      <c r="N15">
        <v>99.3</v>
      </c>
      <c r="O15" s="2" t="s">
        <v>28</v>
      </c>
      <c r="P15">
        <v>49408</v>
      </c>
      <c r="Q15">
        <v>0</v>
      </c>
      <c r="R15" s="97"/>
      <c r="S15" s="2"/>
    </row>
    <row r="16" spans="1:26" x14ac:dyDescent="0.25">
      <c r="A16" s="96" t="str">
        <f t="shared" si="0"/>
        <v>AustraliaCommencements44531Initial</v>
      </c>
      <c r="B16" s="3">
        <v>15</v>
      </c>
      <c r="C16" s="2" t="s">
        <v>1</v>
      </c>
      <c r="D16" s="2" t="s">
        <v>78</v>
      </c>
      <c r="E16">
        <v>2022.2</v>
      </c>
      <c r="F16">
        <v>111</v>
      </c>
      <c r="G16" s="70">
        <v>44531</v>
      </c>
      <c r="H16">
        <v>48686</v>
      </c>
      <c r="I16">
        <v>0</v>
      </c>
      <c r="J16" s="2" t="s">
        <v>31</v>
      </c>
      <c r="K16">
        <v>46864</v>
      </c>
      <c r="L16">
        <v>50508</v>
      </c>
      <c r="M16">
        <v>50676</v>
      </c>
      <c r="N16">
        <v>96.1</v>
      </c>
      <c r="O16" s="2" t="s">
        <v>27</v>
      </c>
      <c r="P16">
        <v>46998</v>
      </c>
      <c r="Q16">
        <v>0</v>
      </c>
      <c r="R16" s="97"/>
      <c r="S16" s="2"/>
    </row>
    <row r="17" spans="1:19" x14ac:dyDescent="0.25">
      <c r="A17" s="96" t="str">
        <f t="shared" si="0"/>
        <v>AustraliaCommencements445311st revision</v>
      </c>
      <c r="B17" s="3">
        <v>16</v>
      </c>
      <c r="C17" s="2" t="s">
        <v>1</v>
      </c>
      <c r="D17" s="2" t="s">
        <v>78</v>
      </c>
      <c r="E17">
        <v>2022.2</v>
      </c>
      <c r="F17">
        <v>112</v>
      </c>
      <c r="G17" s="70">
        <v>44531</v>
      </c>
      <c r="H17">
        <v>50280</v>
      </c>
      <c r="I17">
        <v>0</v>
      </c>
      <c r="J17" s="2" t="s">
        <v>0</v>
      </c>
      <c r="K17">
        <v>50053</v>
      </c>
      <c r="L17">
        <v>50507</v>
      </c>
      <c r="M17">
        <v>50676</v>
      </c>
      <c r="N17">
        <v>99.2</v>
      </c>
      <c r="O17" s="2" t="s">
        <v>27</v>
      </c>
      <c r="P17">
        <v>49943</v>
      </c>
      <c r="Q17">
        <v>0</v>
      </c>
      <c r="R17" s="97"/>
      <c r="S17" s="2"/>
    </row>
    <row r="18" spans="1:19" x14ac:dyDescent="0.25">
      <c r="A18" s="96" t="str">
        <f t="shared" si="0"/>
        <v>AustraliaCompletions44256Initial</v>
      </c>
      <c r="B18" s="3">
        <v>17</v>
      </c>
      <c r="C18" s="2" t="s">
        <v>1</v>
      </c>
      <c r="D18" s="2" t="s">
        <v>79</v>
      </c>
      <c r="E18">
        <v>2021.3</v>
      </c>
      <c r="F18">
        <v>108</v>
      </c>
      <c r="G18" s="70">
        <v>44256</v>
      </c>
      <c r="H18">
        <v>20009</v>
      </c>
      <c r="I18">
        <v>0</v>
      </c>
      <c r="J18" s="2" t="s">
        <v>31</v>
      </c>
      <c r="K18">
        <v>19782</v>
      </c>
      <c r="L18">
        <v>20236</v>
      </c>
      <c r="M18">
        <v>19925</v>
      </c>
      <c r="N18">
        <v>100.4</v>
      </c>
      <c r="O18" s="2" t="s">
        <v>28</v>
      </c>
      <c r="P18">
        <v>18857</v>
      </c>
      <c r="Q18">
        <v>0</v>
      </c>
      <c r="R18" s="97"/>
      <c r="S18" s="2"/>
    </row>
    <row r="19" spans="1:19" x14ac:dyDescent="0.25">
      <c r="A19" s="96" t="str">
        <f t="shared" si="0"/>
        <v>AustraliaCompletions442561st revision</v>
      </c>
      <c r="B19" s="3">
        <v>18</v>
      </c>
      <c r="C19" s="2" t="s">
        <v>1</v>
      </c>
      <c r="D19" s="2" t="s">
        <v>79</v>
      </c>
      <c r="E19">
        <v>2021.3</v>
      </c>
      <c r="F19">
        <v>109</v>
      </c>
      <c r="G19" s="70">
        <v>44256</v>
      </c>
      <c r="H19">
        <v>20115</v>
      </c>
      <c r="I19">
        <v>0</v>
      </c>
      <c r="J19" s="2" t="s">
        <v>0</v>
      </c>
      <c r="K19">
        <v>19993</v>
      </c>
      <c r="L19">
        <v>20237</v>
      </c>
      <c r="M19">
        <v>19925</v>
      </c>
      <c r="N19">
        <v>101</v>
      </c>
      <c r="O19" s="2" t="s">
        <v>28</v>
      </c>
      <c r="P19">
        <v>19604</v>
      </c>
      <c r="Q19">
        <v>0</v>
      </c>
      <c r="R19" s="97"/>
      <c r="S19" s="2"/>
    </row>
    <row r="20" spans="1:19" x14ac:dyDescent="0.25">
      <c r="A20" s="96" t="str">
        <f t="shared" si="0"/>
        <v>AustraliaCompletions44348Initial</v>
      </c>
      <c r="B20" s="3">
        <v>19</v>
      </c>
      <c r="C20" s="2" t="s">
        <v>1</v>
      </c>
      <c r="D20" s="2" t="s">
        <v>79</v>
      </c>
      <c r="E20">
        <v>2021.4</v>
      </c>
      <c r="F20">
        <v>109</v>
      </c>
      <c r="G20" s="70">
        <v>44348</v>
      </c>
      <c r="H20">
        <v>17799</v>
      </c>
      <c r="I20">
        <v>0</v>
      </c>
      <c r="J20" s="2" t="s">
        <v>31</v>
      </c>
      <c r="K20">
        <v>17587</v>
      </c>
      <c r="L20">
        <v>18011</v>
      </c>
      <c r="M20">
        <v>17736</v>
      </c>
      <c r="N20">
        <v>100.4</v>
      </c>
      <c r="O20" s="2" t="s">
        <v>28</v>
      </c>
      <c r="P20">
        <v>16799</v>
      </c>
      <c r="Q20">
        <v>0</v>
      </c>
      <c r="R20" s="97"/>
      <c r="S20" s="2"/>
    </row>
    <row r="21" spans="1:19" x14ac:dyDescent="0.25">
      <c r="A21" s="96" t="str">
        <f t="shared" si="0"/>
        <v>AustraliaCompletions443481st revision</v>
      </c>
      <c r="B21" s="3">
        <v>20</v>
      </c>
      <c r="C21" s="2" t="s">
        <v>1</v>
      </c>
      <c r="D21" s="2" t="s">
        <v>79</v>
      </c>
      <c r="E21">
        <v>2021.4</v>
      </c>
      <c r="F21">
        <v>110</v>
      </c>
      <c r="G21" s="70">
        <v>44348</v>
      </c>
      <c r="H21">
        <v>17830</v>
      </c>
      <c r="I21">
        <v>0</v>
      </c>
      <c r="J21" s="2" t="s">
        <v>0</v>
      </c>
      <c r="K21">
        <v>17730</v>
      </c>
      <c r="L21">
        <v>17930</v>
      </c>
      <c r="M21">
        <v>17736</v>
      </c>
      <c r="N21">
        <v>100.5</v>
      </c>
      <c r="O21" s="2" t="s">
        <v>28</v>
      </c>
      <c r="P21">
        <v>17388</v>
      </c>
      <c r="Q21">
        <v>0</v>
      </c>
      <c r="R21" s="97"/>
      <c r="S21" s="2"/>
    </row>
    <row r="22" spans="1:19" x14ac:dyDescent="0.25">
      <c r="A22" s="96" t="str">
        <f t="shared" si="0"/>
        <v>AustraliaCompletions44440Initial</v>
      </c>
      <c r="B22" s="3">
        <v>21</v>
      </c>
      <c r="C22" s="2" t="s">
        <v>1</v>
      </c>
      <c r="D22" s="2" t="s">
        <v>79</v>
      </c>
      <c r="E22">
        <v>2022.1</v>
      </c>
      <c r="F22">
        <v>110</v>
      </c>
      <c r="G22" s="70">
        <v>44440</v>
      </c>
      <c r="H22">
        <v>18402</v>
      </c>
      <c r="I22">
        <v>0</v>
      </c>
      <c r="J22" s="2" t="s">
        <v>31</v>
      </c>
      <c r="K22">
        <v>18204</v>
      </c>
      <c r="L22">
        <v>18600</v>
      </c>
      <c r="M22">
        <v>18377</v>
      </c>
      <c r="N22">
        <v>100.1</v>
      </c>
      <c r="O22" s="2" t="s">
        <v>28</v>
      </c>
      <c r="P22">
        <v>17412</v>
      </c>
      <c r="Q22">
        <v>0</v>
      </c>
      <c r="R22" s="97"/>
      <c r="S22" s="2"/>
    </row>
    <row r="23" spans="1:19" x14ac:dyDescent="0.25">
      <c r="A23" s="96" t="str">
        <f t="shared" si="0"/>
        <v>AustraliaCompletions444401st revision</v>
      </c>
      <c r="B23" s="3">
        <v>22</v>
      </c>
      <c r="C23" s="2" t="s">
        <v>1</v>
      </c>
      <c r="D23" s="2" t="s">
        <v>79</v>
      </c>
      <c r="E23">
        <v>2022.1</v>
      </c>
      <c r="F23">
        <v>111</v>
      </c>
      <c r="G23" s="70">
        <v>44440</v>
      </c>
      <c r="H23">
        <v>18471</v>
      </c>
      <c r="I23">
        <v>0</v>
      </c>
      <c r="J23" s="2" t="s">
        <v>0</v>
      </c>
      <c r="K23">
        <v>18383</v>
      </c>
      <c r="L23">
        <v>18559</v>
      </c>
      <c r="M23">
        <v>18377</v>
      </c>
      <c r="N23">
        <v>100.5</v>
      </c>
      <c r="O23" s="2" t="s">
        <v>28</v>
      </c>
      <c r="P23">
        <v>18032</v>
      </c>
      <c r="Q23">
        <v>0</v>
      </c>
      <c r="R23" s="97"/>
      <c r="S23" s="2"/>
    </row>
    <row r="24" spans="1:19" x14ac:dyDescent="0.25">
      <c r="A24" s="96" t="str">
        <f t="shared" si="0"/>
        <v>AustraliaCompletions44531Initial</v>
      </c>
      <c r="B24" s="3">
        <v>23</v>
      </c>
      <c r="C24" s="2" t="s">
        <v>1</v>
      </c>
      <c r="D24" s="2" t="s">
        <v>79</v>
      </c>
      <c r="E24">
        <v>2022.2</v>
      </c>
      <c r="F24">
        <v>111</v>
      </c>
      <c r="G24" s="70">
        <v>44531</v>
      </c>
      <c r="H24">
        <v>26813</v>
      </c>
      <c r="I24">
        <v>0</v>
      </c>
      <c r="J24" s="2" t="s">
        <v>31</v>
      </c>
      <c r="K24">
        <v>26532</v>
      </c>
      <c r="L24">
        <v>27094</v>
      </c>
      <c r="M24">
        <v>26990</v>
      </c>
      <c r="N24">
        <v>99.3</v>
      </c>
      <c r="O24" s="2" t="s">
        <v>28</v>
      </c>
      <c r="P24">
        <v>25332</v>
      </c>
      <c r="Q24">
        <v>0</v>
      </c>
      <c r="R24" s="97"/>
      <c r="S24" s="2"/>
    </row>
    <row r="25" spans="1:19" x14ac:dyDescent="0.25">
      <c r="A25" s="96" t="str">
        <f t="shared" si="0"/>
        <v>AustraliaCompletions445311st revision</v>
      </c>
      <c r="B25" s="3">
        <v>24</v>
      </c>
      <c r="C25" s="2" t="s">
        <v>1</v>
      </c>
      <c r="D25" s="2" t="s">
        <v>79</v>
      </c>
      <c r="E25">
        <v>2022.2</v>
      </c>
      <c r="F25">
        <v>112</v>
      </c>
      <c r="G25" s="70">
        <v>44531</v>
      </c>
      <c r="H25">
        <v>26940</v>
      </c>
      <c r="I25">
        <v>0</v>
      </c>
      <c r="J25" s="2" t="s">
        <v>0</v>
      </c>
      <c r="K25">
        <v>26765</v>
      </c>
      <c r="L25">
        <v>27115</v>
      </c>
      <c r="M25">
        <v>26990</v>
      </c>
      <c r="N25">
        <v>99.8</v>
      </c>
      <c r="O25" s="2" t="s">
        <v>28</v>
      </c>
      <c r="P25">
        <v>26274</v>
      </c>
      <c r="Q25">
        <v>0</v>
      </c>
      <c r="R25" s="97"/>
      <c r="S25" s="2"/>
    </row>
    <row r="26" spans="1:19" x14ac:dyDescent="0.25">
      <c r="A26" s="96" t="str">
        <f t="shared" si="0"/>
        <v>AustraliaIn-training43891Initial</v>
      </c>
      <c r="B26" s="3">
        <v>25</v>
      </c>
      <c r="C26" s="2" t="s">
        <v>1</v>
      </c>
      <c r="D26" s="2" t="s">
        <v>80</v>
      </c>
      <c r="E26">
        <v>2020.3</v>
      </c>
      <c r="F26">
        <v>104</v>
      </c>
      <c r="G26" s="70">
        <v>43891</v>
      </c>
      <c r="H26">
        <v>272495</v>
      </c>
      <c r="I26">
        <v>0</v>
      </c>
      <c r="J26" s="2" t="s">
        <v>31</v>
      </c>
      <c r="K26">
        <v>270726</v>
      </c>
      <c r="L26">
        <v>274264</v>
      </c>
      <c r="M26">
        <v>272157</v>
      </c>
      <c r="N26">
        <v>100.1</v>
      </c>
      <c r="O26" s="2" t="s">
        <v>28</v>
      </c>
      <c r="P26">
        <v>279046</v>
      </c>
      <c r="Q26">
        <v>0</v>
      </c>
      <c r="R26" s="97"/>
      <c r="S26" s="2"/>
    </row>
    <row r="27" spans="1:19" x14ac:dyDescent="0.25">
      <c r="A27" s="96" t="str">
        <f t="shared" si="0"/>
        <v>AustraliaIn-training438911st revision</v>
      </c>
      <c r="B27" s="3">
        <v>26</v>
      </c>
      <c r="C27" s="2" t="s">
        <v>1</v>
      </c>
      <c r="D27" s="2" t="s">
        <v>80</v>
      </c>
      <c r="E27">
        <v>2020.3</v>
      </c>
      <c r="F27">
        <v>105</v>
      </c>
      <c r="G27" s="70">
        <v>43891</v>
      </c>
      <c r="H27">
        <v>273113</v>
      </c>
      <c r="I27">
        <v>0</v>
      </c>
      <c r="J27" s="2" t="s">
        <v>0</v>
      </c>
      <c r="K27">
        <v>271855</v>
      </c>
      <c r="L27">
        <v>274371</v>
      </c>
      <c r="M27">
        <v>272157</v>
      </c>
      <c r="N27">
        <v>100.4</v>
      </c>
      <c r="O27" s="2" t="s">
        <v>28</v>
      </c>
      <c r="P27">
        <v>277153</v>
      </c>
      <c r="Q27">
        <v>0</v>
      </c>
      <c r="R27" s="97"/>
      <c r="S27" s="2"/>
    </row>
    <row r="28" spans="1:19" x14ac:dyDescent="0.25">
      <c r="A28" s="96" t="str">
        <f t="shared" si="0"/>
        <v>AustraliaIn-training43983Initial</v>
      </c>
      <c r="B28" s="3">
        <v>27</v>
      </c>
      <c r="C28" s="2" t="s">
        <v>1</v>
      </c>
      <c r="D28" s="2" t="s">
        <v>80</v>
      </c>
      <c r="E28">
        <v>2020.4</v>
      </c>
      <c r="F28">
        <v>105</v>
      </c>
      <c r="G28" s="70">
        <v>43983</v>
      </c>
      <c r="H28">
        <v>266557</v>
      </c>
      <c r="I28">
        <v>0</v>
      </c>
      <c r="J28" s="2" t="s">
        <v>31</v>
      </c>
      <c r="K28">
        <v>265021</v>
      </c>
      <c r="L28">
        <v>268093</v>
      </c>
      <c r="M28">
        <v>267252</v>
      </c>
      <c r="N28">
        <v>99.7</v>
      </c>
      <c r="O28" s="2" t="s">
        <v>28</v>
      </c>
      <c r="P28">
        <v>272805</v>
      </c>
      <c r="Q28">
        <v>0</v>
      </c>
      <c r="R28" s="97"/>
      <c r="S28" s="2"/>
    </row>
    <row r="29" spans="1:19" x14ac:dyDescent="0.25">
      <c r="A29" s="96" t="str">
        <f t="shared" si="0"/>
        <v>AustraliaIn-training439831st revision</v>
      </c>
      <c r="B29" s="3">
        <v>28</v>
      </c>
      <c r="C29" s="2" t="s">
        <v>1</v>
      </c>
      <c r="D29" s="2" t="s">
        <v>80</v>
      </c>
      <c r="E29">
        <v>2020.4</v>
      </c>
      <c r="F29">
        <v>106</v>
      </c>
      <c r="G29" s="70">
        <v>43983</v>
      </c>
      <c r="H29">
        <v>268258</v>
      </c>
      <c r="I29">
        <v>0</v>
      </c>
      <c r="J29" s="2" t="s">
        <v>0</v>
      </c>
      <c r="K29">
        <v>267160</v>
      </c>
      <c r="L29">
        <v>269356</v>
      </c>
      <c r="M29">
        <v>267252</v>
      </c>
      <c r="N29">
        <v>100.4</v>
      </c>
      <c r="O29" s="2" t="s">
        <v>28</v>
      </c>
      <c r="P29">
        <v>271428</v>
      </c>
      <c r="Q29">
        <v>0</v>
      </c>
      <c r="R29" s="97"/>
      <c r="S29" s="2"/>
    </row>
    <row r="30" spans="1:19" x14ac:dyDescent="0.25">
      <c r="A30" s="96" t="str">
        <f t="shared" si="0"/>
        <v>AustraliaIn-training44075Initial</v>
      </c>
      <c r="B30" s="3">
        <v>29</v>
      </c>
      <c r="C30" s="2" t="s">
        <v>1</v>
      </c>
      <c r="D30" s="2" t="s">
        <v>80</v>
      </c>
      <c r="E30">
        <v>2021.1</v>
      </c>
      <c r="F30">
        <v>106</v>
      </c>
      <c r="G30" s="70">
        <v>44075</v>
      </c>
      <c r="H30">
        <v>264419</v>
      </c>
      <c r="I30">
        <v>0</v>
      </c>
      <c r="J30" s="2" t="s">
        <v>31</v>
      </c>
      <c r="K30">
        <v>262938</v>
      </c>
      <c r="L30">
        <v>265900</v>
      </c>
      <c r="M30">
        <v>263854</v>
      </c>
      <c r="N30">
        <v>100.2</v>
      </c>
      <c r="O30" s="2" t="s">
        <v>28</v>
      </c>
      <c r="P30">
        <v>269852</v>
      </c>
      <c r="Q30">
        <v>0</v>
      </c>
      <c r="R30" s="97"/>
      <c r="S30" s="2"/>
    </row>
    <row r="31" spans="1:19" x14ac:dyDescent="0.25">
      <c r="A31" s="96" t="str">
        <f t="shared" si="0"/>
        <v>AustraliaIn-training440751st revision</v>
      </c>
      <c r="B31" s="3">
        <v>30</v>
      </c>
      <c r="C31" s="2" t="s">
        <v>1</v>
      </c>
      <c r="D31" s="2" t="s">
        <v>80</v>
      </c>
      <c r="E31">
        <v>2021.1</v>
      </c>
      <c r="F31">
        <v>107</v>
      </c>
      <c r="G31" s="70">
        <v>44075</v>
      </c>
      <c r="H31">
        <v>265086</v>
      </c>
      <c r="I31">
        <v>0</v>
      </c>
      <c r="J31" s="2" t="s">
        <v>0</v>
      </c>
      <c r="K31">
        <v>264224</v>
      </c>
      <c r="L31">
        <v>265948</v>
      </c>
      <c r="M31">
        <v>263854</v>
      </c>
      <c r="N31">
        <v>100.5</v>
      </c>
      <c r="O31" s="2" t="s">
        <v>28</v>
      </c>
      <c r="P31">
        <v>267962</v>
      </c>
      <c r="Q31">
        <v>0</v>
      </c>
      <c r="R31" s="97"/>
      <c r="S31" s="2"/>
    </row>
    <row r="32" spans="1:19" x14ac:dyDescent="0.25">
      <c r="A32" s="96" t="str">
        <f t="shared" si="0"/>
        <v>AustraliaIn-training44166Initial</v>
      </c>
      <c r="B32" s="3">
        <v>31</v>
      </c>
      <c r="C32" s="2" t="s">
        <v>1</v>
      </c>
      <c r="D32" s="2" t="s">
        <v>80</v>
      </c>
      <c r="E32">
        <v>2021.2</v>
      </c>
      <c r="F32">
        <v>107</v>
      </c>
      <c r="G32" s="70">
        <v>44166</v>
      </c>
      <c r="H32">
        <v>297914</v>
      </c>
      <c r="I32">
        <v>0</v>
      </c>
      <c r="J32" s="2" t="s">
        <v>31</v>
      </c>
      <c r="K32">
        <v>296510</v>
      </c>
      <c r="L32">
        <v>299318</v>
      </c>
      <c r="M32">
        <v>298900</v>
      </c>
      <c r="N32">
        <v>99.7</v>
      </c>
      <c r="O32" s="2" t="s">
        <v>28</v>
      </c>
      <c r="P32">
        <v>302586</v>
      </c>
      <c r="Q32">
        <v>0</v>
      </c>
      <c r="R32" s="97"/>
      <c r="S32" s="2"/>
    </row>
    <row r="33" spans="1:19" x14ac:dyDescent="0.25">
      <c r="A33" s="96" t="str">
        <f t="shared" si="0"/>
        <v>AustraliaIn-training441661st revision</v>
      </c>
      <c r="B33" s="3">
        <v>32</v>
      </c>
      <c r="C33" s="2" t="s">
        <v>1</v>
      </c>
      <c r="D33" s="2" t="s">
        <v>80</v>
      </c>
      <c r="E33">
        <v>2021.2</v>
      </c>
      <c r="F33">
        <v>108</v>
      </c>
      <c r="G33" s="70">
        <v>44166</v>
      </c>
      <c r="H33">
        <v>300012</v>
      </c>
      <c r="I33">
        <v>0</v>
      </c>
      <c r="J33" s="2" t="s">
        <v>0</v>
      </c>
      <c r="K33">
        <v>299017</v>
      </c>
      <c r="L33">
        <v>301007</v>
      </c>
      <c r="M33">
        <v>298900</v>
      </c>
      <c r="N33">
        <v>100.4</v>
      </c>
      <c r="O33" s="2" t="s">
        <v>28</v>
      </c>
      <c r="P33">
        <v>302984</v>
      </c>
      <c r="Q33">
        <v>0</v>
      </c>
      <c r="R33" s="97"/>
      <c r="S33" s="2"/>
    </row>
    <row r="34" spans="1:19" x14ac:dyDescent="0.25">
      <c r="A34" s="96" t="str">
        <f t="shared" si="0"/>
        <v>Australian Capital TerritoryCancellations/withdrawals43891Initial</v>
      </c>
      <c r="B34" s="3">
        <v>33</v>
      </c>
      <c r="C34" s="2" t="s">
        <v>2</v>
      </c>
      <c r="D34" s="2" t="s">
        <v>77</v>
      </c>
      <c r="E34">
        <v>2020.3</v>
      </c>
      <c r="F34">
        <v>104</v>
      </c>
      <c r="G34" s="70">
        <v>43891</v>
      </c>
      <c r="H34">
        <v>420</v>
      </c>
      <c r="I34">
        <v>0</v>
      </c>
      <c r="J34" s="2" t="s">
        <v>31</v>
      </c>
      <c r="K34">
        <v>406</v>
      </c>
      <c r="L34">
        <v>434</v>
      </c>
      <c r="M34">
        <v>419</v>
      </c>
      <c r="N34">
        <v>100.2</v>
      </c>
      <c r="O34" s="2" t="s">
        <v>28</v>
      </c>
      <c r="P34">
        <v>420</v>
      </c>
      <c r="Q34">
        <v>0</v>
      </c>
      <c r="R34" s="97"/>
      <c r="S34" s="2"/>
    </row>
    <row r="35" spans="1:19" x14ac:dyDescent="0.25">
      <c r="A35" s="96" t="str">
        <f t="shared" si="0"/>
        <v>Australian Capital TerritoryCancellations/withdrawals438911st revision</v>
      </c>
      <c r="B35" s="3">
        <v>34</v>
      </c>
      <c r="C35" s="2" t="s">
        <v>2</v>
      </c>
      <c r="D35" s="2" t="s">
        <v>77</v>
      </c>
      <c r="E35">
        <v>2020.3</v>
      </c>
      <c r="F35">
        <v>105</v>
      </c>
      <c r="G35" s="70">
        <v>43891</v>
      </c>
      <c r="H35">
        <v>419</v>
      </c>
      <c r="I35">
        <v>0</v>
      </c>
      <c r="J35" s="2" t="s">
        <v>0</v>
      </c>
      <c r="K35">
        <v>417</v>
      </c>
      <c r="L35">
        <v>421</v>
      </c>
      <c r="M35">
        <v>419</v>
      </c>
      <c r="N35">
        <v>100</v>
      </c>
      <c r="O35" s="2" t="s">
        <v>28</v>
      </c>
      <c r="P35">
        <v>419</v>
      </c>
      <c r="Q35">
        <v>0</v>
      </c>
      <c r="R35" s="97"/>
      <c r="S35" s="2"/>
    </row>
    <row r="36" spans="1:19" x14ac:dyDescent="0.25">
      <c r="A36" s="96" t="str">
        <f t="shared" si="0"/>
        <v>Australian Capital TerritoryCancellations/withdrawals43983Initial</v>
      </c>
      <c r="B36" s="3">
        <v>35</v>
      </c>
      <c r="C36" s="2" t="s">
        <v>2</v>
      </c>
      <c r="D36" s="2" t="s">
        <v>77</v>
      </c>
      <c r="E36">
        <v>2020.4</v>
      </c>
      <c r="F36">
        <v>105</v>
      </c>
      <c r="G36" s="70">
        <v>43983</v>
      </c>
      <c r="H36">
        <v>367</v>
      </c>
      <c r="I36">
        <v>0</v>
      </c>
      <c r="J36" s="2" t="s">
        <v>31</v>
      </c>
      <c r="K36">
        <v>365</v>
      </c>
      <c r="L36">
        <v>369</v>
      </c>
      <c r="M36">
        <v>367</v>
      </c>
      <c r="N36">
        <v>100</v>
      </c>
      <c r="O36" s="2" t="s">
        <v>28</v>
      </c>
      <c r="P36">
        <v>367</v>
      </c>
      <c r="Q36">
        <v>0</v>
      </c>
      <c r="R36" s="97"/>
      <c r="S36" s="2"/>
    </row>
    <row r="37" spans="1:19" x14ac:dyDescent="0.25">
      <c r="A37" s="96" t="str">
        <f t="shared" si="0"/>
        <v>Australian Capital TerritoryCancellations/withdrawals439831st revision</v>
      </c>
      <c r="B37" s="3">
        <v>36</v>
      </c>
      <c r="C37" s="2" t="s">
        <v>2</v>
      </c>
      <c r="D37" s="2" t="s">
        <v>77</v>
      </c>
      <c r="E37">
        <v>2020.4</v>
      </c>
      <c r="F37">
        <v>106</v>
      </c>
      <c r="G37" s="70">
        <v>43983</v>
      </c>
      <c r="H37">
        <v>367</v>
      </c>
      <c r="I37">
        <v>0</v>
      </c>
      <c r="J37" s="2" t="s">
        <v>0</v>
      </c>
      <c r="K37">
        <v>365</v>
      </c>
      <c r="L37">
        <v>369</v>
      </c>
      <c r="M37">
        <v>367</v>
      </c>
      <c r="N37">
        <v>100</v>
      </c>
      <c r="O37" s="2" t="s">
        <v>28</v>
      </c>
      <c r="P37">
        <v>367</v>
      </c>
      <c r="Q37">
        <v>0</v>
      </c>
      <c r="R37" s="97"/>
      <c r="S37" s="2"/>
    </row>
    <row r="38" spans="1:19" x14ac:dyDescent="0.25">
      <c r="A38" s="96" t="str">
        <f t="shared" si="0"/>
        <v>Australian Capital TerritoryCancellations/withdrawals44075Initial</v>
      </c>
      <c r="B38" s="3">
        <v>37</v>
      </c>
      <c r="C38" s="2" t="s">
        <v>2</v>
      </c>
      <c r="D38" s="2" t="s">
        <v>77</v>
      </c>
      <c r="E38">
        <v>2021.1</v>
      </c>
      <c r="F38">
        <v>106</v>
      </c>
      <c r="G38" s="70">
        <v>44075</v>
      </c>
      <c r="H38">
        <v>431</v>
      </c>
      <c r="I38">
        <v>0</v>
      </c>
      <c r="J38" s="2" t="s">
        <v>31</v>
      </c>
      <c r="K38">
        <v>428</v>
      </c>
      <c r="L38">
        <v>434</v>
      </c>
      <c r="M38">
        <v>428</v>
      </c>
      <c r="N38">
        <v>100.7</v>
      </c>
      <c r="O38" s="2" t="s">
        <v>27</v>
      </c>
      <c r="P38">
        <v>431</v>
      </c>
      <c r="Q38">
        <v>0</v>
      </c>
      <c r="R38" s="97"/>
      <c r="S38" s="2"/>
    </row>
    <row r="39" spans="1:19" x14ac:dyDescent="0.25">
      <c r="A39" s="96" t="str">
        <f t="shared" si="0"/>
        <v>Australian Capital TerritoryCancellations/withdrawals440751st revision</v>
      </c>
      <c r="B39" s="3">
        <v>38</v>
      </c>
      <c r="C39" s="2" t="s">
        <v>2</v>
      </c>
      <c r="D39" s="2" t="s">
        <v>77</v>
      </c>
      <c r="E39">
        <v>2021.1</v>
      </c>
      <c r="F39">
        <v>107</v>
      </c>
      <c r="G39" s="70">
        <v>44075</v>
      </c>
      <c r="H39">
        <v>431</v>
      </c>
      <c r="I39">
        <v>0</v>
      </c>
      <c r="J39" s="2" t="s">
        <v>0</v>
      </c>
      <c r="K39">
        <v>427</v>
      </c>
      <c r="L39">
        <v>435</v>
      </c>
      <c r="M39">
        <v>428</v>
      </c>
      <c r="N39">
        <v>100.7</v>
      </c>
      <c r="O39" s="2" t="s">
        <v>27</v>
      </c>
      <c r="P39">
        <v>431</v>
      </c>
      <c r="Q39">
        <v>0</v>
      </c>
      <c r="R39" s="97"/>
      <c r="S39" s="2"/>
    </row>
    <row r="40" spans="1:19" x14ac:dyDescent="0.25">
      <c r="A40" s="96" t="str">
        <f t="shared" si="0"/>
        <v>Australian Capital TerritoryCancellations/withdrawals44166Initial</v>
      </c>
      <c r="B40" s="3">
        <v>39</v>
      </c>
      <c r="C40" s="2" t="s">
        <v>2</v>
      </c>
      <c r="D40" s="2" t="s">
        <v>77</v>
      </c>
      <c r="E40">
        <v>2021.2</v>
      </c>
      <c r="F40">
        <v>107</v>
      </c>
      <c r="G40" s="70">
        <v>44166</v>
      </c>
      <c r="H40">
        <v>414</v>
      </c>
      <c r="I40">
        <v>0</v>
      </c>
      <c r="J40" s="2" t="s">
        <v>31</v>
      </c>
      <c r="K40">
        <v>410</v>
      </c>
      <c r="L40">
        <v>418</v>
      </c>
      <c r="M40">
        <v>414</v>
      </c>
      <c r="N40">
        <v>100</v>
      </c>
      <c r="O40" s="2" t="s">
        <v>28</v>
      </c>
      <c r="P40">
        <v>414</v>
      </c>
      <c r="Q40">
        <v>0</v>
      </c>
      <c r="R40" s="97"/>
      <c r="S40" s="2"/>
    </row>
    <row r="41" spans="1:19" x14ac:dyDescent="0.25">
      <c r="A41" s="96" t="str">
        <f t="shared" si="0"/>
        <v>Australian Capital TerritoryCancellations/withdrawals441661st revision</v>
      </c>
      <c r="B41" s="3">
        <v>40</v>
      </c>
      <c r="C41" s="2" t="s">
        <v>2</v>
      </c>
      <c r="D41" s="2" t="s">
        <v>77</v>
      </c>
      <c r="E41">
        <v>2021.2</v>
      </c>
      <c r="F41">
        <v>108</v>
      </c>
      <c r="G41" s="70">
        <v>44166</v>
      </c>
      <c r="H41">
        <v>414</v>
      </c>
      <c r="I41">
        <v>0</v>
      </c>
      <c r="J41" s="2" t="s">
        <v>0</v>
      </c>
      <c r="K41">
        <v>410</v>
      </c>
      <c r="L41">
        <v>418</v>
      </c>
      <c r="M41">
        <v>414</v>
      </c>
      <c r="N41">
        <v>100</v>
      </c>
      <c r="O41" s="2" t="s">
        <v>28</v>
      </c>
      <c r="P41">
        <v>414</v>
      </c>
      <c r="Q41">
        <v>0</v>
      </c>
      <c r="R41" s="97"/>
      <c r="S41" s="2"/>
    </row>
    <row r="42" spans="1:19" x14ac:dyDescent="0.25">
      <c r="A42" s="96" t="str">
        <f t="shared" si="0"/>
        <v>Australian Capital TerritoryCommencements44256Initial</v>
      </c>
      <c r="B42" s="3">
        <v>41</v>
      </c>
      <c r="C42" s="2" t="s">
        <v>2</v>
      </c>
      <c r="D42" s="2" t="s">
        <v>78</v>
      </c>
      <c r="E42">
        <v>2021.3</v>
      </c>
      <c r="F42">
        <v>108</v>
      </c>
      <c r="G42" s="70">
        <v>44256</v>
      </c>
      <c r="H42">
        <v>1711</v>
      </c>
      <c r="I42">
        <v>0</v>
      </c>
      <c r="J42" s="2" t="s">
        <v>31</v>
      </c>
      <c r="K42">
        <v>1593</v>
      </c>
      <c r="L42">
        <v>1829</v>
      </c>
      <c r="M42">
        <v>1746</v>
      </c>
      <c r="N42">
        <v>98</v>
      </c>
      <c r="O42" s="2" t="s">
        <v>28</v>
      </c>
      <c r="P42">
        <v>1629</v>
      </c>
      <c r="Q42">
        <v>0</v>
      </c>
      <c r="R42" s="97"/>
      <c r="S42" s="2"/>
    </row>
    <row r="43" spans="1:19" x14ac:dyDescent="0.25">
      <c r="A43" s="96" t="str">
        <f t="shared" si="0"/>
        <v>Australian Capital TerritoryCommencements442561st revision</v>
      </c>
      <c r="B43" s="3">
        <v>42</v>
      </c>
      <c r="C43" s="2" t="s">
        <v>2</v>
      </c>
      <c r="D43" s="2" t="s">
        <v>78</v>
      </c>
      <c r="E43">
        <v>2021.3</v>
      </c>
      <c r="F43">
        <v>109</v>
      </c>
      <c r="G43" s="70">
        <v>44256</v>
      </c>
      <c r="H43">
        <v>1756</v>
      </c>
      <c r="I43">
        <v>0</v>
      </c>
      <c r="J43" s="2" t="s">
        <v>0</v>
      </c>
      <c r="K43">
        <v>1714</v>
      </c>
      <c r="L43">
        <v>1798</v>
      </c>
      <c r="M43">
        <v>1746</v>
      </c>
      <c r="N43">
        <v>100.6</v>
      </c>
      <c r="O43" s="2" t="s">
        <v>28</v>
      </c>
      <c r="P43">
        <v>1732</v>
      </c>
      <c r="Q43">
        <v>0</v>
      </c>
      <c r="R43" s="97"/>
      <c r="S43" s="2"/>
    </row>
    <row r="44" spans="1:19" x14ac:dyDescent="0.25">
      <c r="A44" s="96" t="str">
        <f t="shared" si="0"/>
        <v>Australian Capital TerritoryCommencements44348Initial</v>
      </c>
      <c r="B44" s="3">
        <v>43</v>
      </c>
      <c r="C44" s="2" t="s">
        <v>2</v>
      </c>
      <c r="D44" s="2" t="s">
        <v>78</v>
      </c>
      <c r="E44">
        <v>2021.4</v>
      </c>
      <c r="F44">
        <v>109</v>
      </c>
      <c r="G44" s="70">
        <v>44348</v>
      </c>
      <c r="H44">
        <v>1187</v>
      </c>
      <c r="I44">
        <v>0</v>
      </c>
      <c r="J44" s="2" t="s">
        <v>31</v>
      </c>
      <c r="K44">
        <v>1103</v>
      </c>
      <c r="L44">
        <v>1271</v>
      </c>
      <c r="M44">
        <v>1170</v>
      </c>
      <c r="N44">
        <v>101.5</v>
      </c>
      <c r="O44" s="2" t="s">
        <v>28</v>
      </c>
      <c r="P44">
        <v>1123</v>
      </c>
      <c r="Q44">
        <v>0</v>
      </c>
      <c r="R44" s="97"/>
      <c r="S44" s="2"/>
    </row>
    <row r="45" spans="1:19" x14ac:dyDescent="0.25">
      <c r="A45" s="96" t="str">
        <f t="shared" si="0"/>
        <v>Australian Capital TerritoryCommencements443481st revision</v>
      </c>
      <c r="B45" s="3">
        <v>44</v>
      </c>
      <c r="C45" s="2" t="s">
        <v>2</v>
      </c>
      <c r="D45" s="2" t="s">
        <v>78</v>
      </c>
      <c r="E45">
        <v>2021.4</v>
      </c>
      <c r="F45">
        <v>110</v>
      </c>
      <c r="G45" s="70">
        <v>44348</v>
      </c>
      <c r="H45">
        <v>1177</v>
      </c>
      <c r="I45">
        <v>0</v>
      </c>
      <c r="J45" s="2" t="s">
        <v>0</v>
      </c>
      <c r="K45">
        <v>1150</v>
      </c>
      <c r="L45">
        <v>1204</v>
      </c>
      <c r="M45">
        <v>1170</v>
      </c>
      <c r="N45">
        <v>100.6</v>
      </c>
      <c r="O45" s="2" t="s">
        <v>28</v>
      </c>
      <c r="P45">
        <v>1159</v>
      </c>
      <c r="Q45">
        <v>0</v>
      </c>
      <c r="R45" s="97"/>
      <c r="S45" s="2"/>
    </row>
    <row r="46" spans="1:19" x14ac:dyDescent="0.25">
      <c r="A46" s="96" t="str">
        <f t="shared" si="0"/>
        <v>Australian Capital TerritoryCommencements44440Initial</v>
      </c>
      <c r="B46" s="3">
        <v>45</v>
      </c>
      <c r="C46" s="2" t="s">
        <v>2</v>
      </c>
      <c r="D46" s="2" t="s">
        <v>78</v>
      </c>
      <c r="E46">
        <v>2022.1</v>
      </c>
      <c r="F46">
        <v>110</v>
      </c>
      <c r="G46" s="70">
        <v>44440</v>
      </c>
      <c r="H46">
        <v>1149</v>
      </c>
      <c r="I46">
        <v>0</v>
      </c>
      <c r="J46" s="2" t="s">
        <v>31</v>
      </c>
      <c r="K46">
        <v>1069</v>
      </c>
      <c r="L46">
        <v>1229</v>
      </c>
      <c r="M46">
        <v>1121</v>
      </c>
      <c r="N46">
        <v>102.5</v>
      </c>
      <c r="O46" s="2" t="s">
        <v>28</v>
      </c>
      <c r="P46">
        <v>1086</v>
      </c>
      <c r="Q46">
        <v>0</v>
      </c>
      <c r="R46" s="97"/>
      <c r="S46" s="2"/>
    </row>
    <row r="47" spans="1:19" x14ac:dyDescent="0.25">
      <c r="A47" s="96" t="str">
        <f t="shared" si="0"/>
        <v>Australian Capital TerritoryCommencements444401st revision</v>
      </c>
      <c r="B47" s="3">
        <v>46</v>
      </c>
      <c r="C47" s="2" t="s">
        <v>2</v>
      </c>
      <c r="D47" s="2" t="s">
        <v>78</v>
      </c>
      <c r="E47">
        <v>2022.1</v>
      </c>
      <c r="F47">
        <v>111</v>
      </c>
      <c r="G47" s="70">
        <v>44440</v>
      </c>
      <c r="H47">
        <v>1139</v>
      </c>
      <c r="I47">
        <v>0</v>
      </c>
      <c r="J47" s="2" t="s">
        <v>0</v>
      </c>
      <c r="K47">
        <v>1112</v>
      </c>
      <c r="L47">
        <v>1166</v>
      </c>
      <c r="M47">
        <v>1121</v>
      </c>
      <c r="N47">
        <v>101.6</v>
      </c>
      <c r="O47" s="2" t="s">
        <v>28</v>
      </c>
      <c r="P47">
        <v>1118</v>
      </c>
      <c r="Q47">
        <v>0</v>
      </c>
      <c r="R47" s="97"/>
      <c r="S47" s="2"/>
    </row>
    <row r="48" spans="1:19" x14ac:dyDescent="0.25">
      <c r="A48" s="96" t="str">
        <f t="shared" si="0"/>
        <v>Australian Capital TerritoryCommencements44531Initial</v>
      </c>
      <c r="B48" s="3">
        <v>47</v>
      </c>
      <c r="C48" s="2" t="s">
        <v>2</v>
      </c>
      <c r="D48" s="2" t="s">
        <v>78</v>
      </c>
      <c r="E48">
        <v>2022.2</v>
      </c>
      <c r="F48">
        <v>111</v>
      </c>
      <c r="G48" s="70">
        <v>44531</v>
      </c>
      <c r="H48">
        <v>1058</v>
      </c>
      <c r="I48">
        <v>0</v>
      </c>
      <c r="J48" s="2" t="s">
        <v>31</v>
      </c>
      <c r="K48">
        <v>976</v>
      </c>
      <c r="L48">
        <v>1140</v>
      </c>
      <c r="M48">
        <v>1016</v>
      </c>
      <c r="N48">
        <v>104.1</v>
      </c>
      <c r="O48" s="2" t="s">
        <v>28</v>
      </c>
      <c r="P48">
        <v>990</v>
      </c>
      <c r="Q48">
        <v>0</v>
      </c>
      <c r="R48" s="97"/>
      <c r="S48" s="2"/>
    </row>
    <row r="49" spans="1:19" x14ac:dyDescent="0.25">
      <c r="A49" s="96" t="str">
        <f t="shared" si="0"/>
        <v>Australian Capital TerritoryCommencements445311st revision</v>
      </c>
      <c r="B49" s="3">
        <v>48</v>
      </c>
      <c r="C49" s="2" t="s">
        <v>2</v>
      </c>
      <c r="D49" s="2" t="s">
        <v>78</v>
      </c>
      <c r="E49">
        <v>2022.2</v>
      </c>
      <c r="F49">
        <v>112</v>
      </c>
      <c r="G49" s="70">
        <v>44531</v>
      </c>
      <c r="H49">
        <v>1027</v>
      </c>
      <c r="I49">
        <v>0</v>
      </c>
      <c r="J49" s="2" t="s">
        <v>0</v>
      </c>
      <c r="K49">
        <v>1005</v>
      </c>
      <c r="L49">
        <v>1049</v>
      </c>
      <c r="M49">
        <v>1016</v>
      </c>
      <c r="N49">
        <v>101.1</v>
      </c>
      <c r="O49" s="2" t="s">
        <v>28</v>
      </c>
      <c r="P49">
        <v>1008</v>
      </c>
      <c r="Q49">
        <v>0</v>
      </c>
      <c r="R49" s="97"/>
      <c r="S49" s="2"/>
    </row>
    <row r="50" spans="1:19" x14ac:dyDescent="0.25">
      <c r="A50" s="96" t="str">
        <f t="shared" si="0"/>
        <v>Australian Capital TerritoryCompletions44256Initial</v>
      </c>
      <c r="B50" s="3">
        <v>49</v>
      </c>
      <c r="C50" s="2" t="s">
        <v>2</v>
      </c>
      <c r="D50" s="2" t="s">
        <v>79</v>
      </c>
      <c r="E50">
        <v>2021.3</v>
      </c>
      <c r="F50">
        <v>108</v>
      </c>
      <c r="G50" s="70">
        <v>44256</v>
      </c>
      <c r="H50">
        <v>412</v>
      </c>
      <c r="I50">
        <v>0</v>
      </c>
      <c r="J50" s="2" t="s">
        <v>31</v>
      </c>
      <c r="K50">
        <v>398</v>
      </c>
      <c r="L50">
        <v>426</v>
      </c>
      <c r="M50">
        <v>416</v>
      </c>
      <c r="N50">
        <v>99</v>
      </c>
      <c r="O50" s="2" t="s">
        <v>28</v>
      </c>
      <c r="P50">
        <v>393</v>
      </c>
      <c r="Q50">
        <v>0</v>
      </c>
      <c r="R50" s="97"/>
      <c r="S50" s="2"/>
    </row>
    <row r="51" spans="1:19" x14ac:dyDescent="0.25">
      <c r="A51" s="96" t="str">
        <f t="shared" si="0"/>
        <v>Australian Capital TerritoryCompletions442561st revision</v>
      </c>
      <c r="B51" s="3">
        <v>50</v>
      </c>
      <c r="C51" s="2" t="s">
        <v>2</v>
      </c>
      <c r="D51" s="2" t="s">
        <v>79</v>
      </c>
      <c r="E51">
        <v>2021.3</v>
      </c>
      <c r="F51">
        <v>109</v>
      </c>
      <c r="G51" s="70">
        <v>44256</v>
      </c>
      <c r="H51">
        <v>418</v>
      </c>
      <c r="I51">
        <v>0</v>
      </c>
      <c r="J51" s="2" t="s">
        <v>0</v>
      </c>
      <c r="K51">
        <v>409</v>
      </c>
      <c r="L51">
        <v>427</v>
      </c>
      <c r="M51">
        <v>416</v>
      </c>
      <c r="N51">
        <v>100.5</v>
      </c>
      <c r="O51" s="2" t="s">
        <v>28</v>
      </c>
      <c r="P51">
        <v>409</v>
      </c>
      <c r="Q51">
        <v>0</v>
      </c>
      <c r="R51" s="97"/>
      <c r="S51" s="2"/>
    </row>
    <row r="52" spans="1:19" x14ac:dyDescent="0.25">
      <c r="A52" s="96" t="str">
        <f t="shared" si="0"/>
        <v>Australian Capital TerritoryCompletions44348Initial</v>
      </c>
      <c r="B52" s="3">
        <v>51</v>
      </c>
      <c r="C52" s="2" t="s">
        <v>2</v>
      </c>
      <c r="D52" s="2" t="s">
        <v>79</v>
      </c>
      <c r="E52">
        <v>2021.4</v>
      </c>
      <c r="F52">
        <v>109</v>
      </c>
      <c r="G52" s="70">
        <v>44348</v>
      </c>
      <c r="H52">
        <v>468</v>
      </c>
      <c r="I52">
        <v>0</v>
      </c>
      <c r="J52" s="2" t="s">
        <v>31</v>
      </c>
      <c r="K52">
        <v>453</v>
      </c>
      <c r="L52">
        <v>483</v>
      </c>
      <c r="M52">
        <v>472</v>
      </c>
      <c r="N52">
        <v>99.2</v>
      </c>
      <c r="O52" s="2" t="s">
        <v>28</v>
      </c>
      <c r="P52">
        <v>446</v>
      </c>
      <c r="Q52">
        <v>0</v>
      </c>
      <c r="R52" s="97"/>
      <c r="S52" s="2"/>
    </row>
    <row r="53" spans="1:19" x14ac:dyDescent="0.25">
      <c r="A53" s="96" t="str">
        <f t="shared" si="0"/>
        <v>Australian Capital TerritoryCompletions443481st revision</v>
      </c>
      <c r="B53" s="3">
        <v>52</v>
      </c>
      <c r="C53" s="2" t="s">
        <v>2</v>
      </c>
      <c r="D53" s="2" t="s">
        <v>79</v>
      </c>
      <c r="E53">
        <v>2021.4</v>
      </c>
      <c r="F53">
        <v>110</v>
      </c>
      <c r="G53" s="70">
        <v>44348</v>
      </c>
      <c r="H53">
        <v>463</v>
      </c>
      <c r="I53">
        <v>0</v>
      </c>
      <c r="J53" s="2" t="s">
        <v>0</v>
      </c>
      <c r="K53">
        <v>453</v>
      </c>
      <c r="L53">
        <v>473</v>
      </c>
      <c r="M53">
        <v>472</v>
      </c>
      <c r="N53">
        <v>98.1</v>
      </c>
      <c r="O53" s="2" t="s">
        <v>28</v>
      </c>
      <c r="P53">
        <v>452</v>
      </c>
      <c r="Q53">
        <v>0</v>
      </c>
      <c r="R53" s="97"/>
      <c r="S53" s="2"/>
    </row>
    <row r="54" spans="1:19" x14ac:dyDescent="0.25">
      <c r="A54" s="96" t="str">
        <f t="shared" si="0"/>
        <v>Australian Capital TerritoryCompletions44440Initial</v>
      </c>
      <c r="B54" s="3">
        <v>53</v>
      </c>
      <c r="C54" s="2" t="s">
        <v>2</v>
      </c>
      <c r="D54" s="2" t="s">
        <v>79</v>
      </c>
      <c r="E54">
        <v>2022.1</v>
      </c>
      <c r="F54">
        <v>110</v>
      </c>
      <c r="G54" s="70">
        <v>44440</v>
      </c>
      <c r="H54">
        <v>378</v>
      </c>
      <c r="I54">
        <v>0</v>
      </c>
      <c r="J54" s="2" t="s">
        <v>31</v>
      </c>
      <c r="K54">
        <v>361</v>
      </c>
      <c r="L54">
        <v>395</v>
      </c>
      <c r="M54">
        <v>383</v>
      </c>
      <c r="N54">
        <v>98.7</v>
      </c>
      <c r="O54" s="2" t="s">
        <v>28</v>
      </c>
      <c r="P54">
        <v>361</v>
      </c>
      <c r="Q54">
        <v>0</v>
      </c>
      <c r="R54" s="97"/>
      <c r="S54" s="2"/>
    </row>
    <row r="55" spans="1:19" x14ac:dyDescent="0.25">
      <c r="A55" s="96" t="str">
        <f t="shared" si="0"/>
        <v>Australian Capital TerritoryCompletions444401st revision</v>
      </c>
      <c r="B55" s="3">
        <v>54</v>
      </c>
      <c r="C55" s="2" t="s">
        <v>2</v>
      </c>
      <c r="D55" s="2" t="s">
        <v>79</v>
      </c>
      <c r="E55">
        <v>2022.1</v>
      </c>
      <c r="F55">
        <v>111</v>
      </c>
      <c r="G55" s="70">
        <v>44440</v>
      </c>
      <c r="H55">
        <v>387</v>
      </c>
      <c r="I55">
        <v>0</v>
      </c>
      <c r="J55" s="2" t="s">
        <v>0</v>
      </c>
      <c r="K55">
        <v>379</v>
      </c>
      <c r="L55">
        <v>395</v>
      </c>
      <c r="M55">
        <v>383</v>
      </c>
      <c r="N55">
        <v>101</v>
      </c>
      <c r="O55" s="2" t="s">
        <v>28</v>
      </c>
      <c r="P55">
        <v>378</v>
      </c>
      <c r="Q55">
        <v>0</v>
      </c>
      <c r="R55" s="97"/>
      <c r="S55" s="2"/>
    </row>
    <row r="56" spans="1:19" x14ac:dyDescent="0.25">
      <c r="A56" s="96" t="str">
        <f t="shared" si="0"/>
        <v>Australian Capital TerritoryCompletions44531Initial</v>
      </c>
      <c r="B56" s="3">
        <v>55</v>
      </c>
      <c r="C56" s="2" t="s">
        <v>2</v>
      </c>
      <c r="D56" s="2" t="s">
        <v>79</v>
      </c>
      <c r="E56">
        <v>2022.2</v>
      </c>
      <c r="F56">
        <v>111</v>
      </c>
      <c r="G56" s="70">
        <v>44531</v>
      </c>
      <c r="H56">
        <v>873</v>
      </c>
      <c r="I56">
        <v>0</v>
      </c>
      <c r="J56" s="2" t="s">
        <v>31</v>
      </c>
      <c r="K56">
        <v>831</v>
      </c>
      <c r="L56">
        <v>915</v>
      </c>
      <c r="M56">
        <v>881</v>
      </c>
      <c r="N56">
        <v>99.1</v>
      </c>
      <c r="O56" s="2" t="s">
        <v>28</v>
      </c>
      <c r="P56">
        <v>829</v>
      </c>
      <c r="Q56">
        <v>0</v>
      </c>
      <c r="R56" s="97"/>
      <c r="S56" s="2"/>
    </row>
    <row r="57" spans="1:19" x14ac:dyDescent="0.25">
      <c r="A57" s="96" t="str">
        <f t="shared" si="0"/>
        <v>Australian Capital TerritoryCompletions445311st revision</v>
      </c>
      <c r="B57" s="3">
        <v>56</v>
      </c>
      <c r="C57" s="2" t="s">
        <v>2</v>
      </c>
      <c r="D57" s="2" t="s">
        <v>79</v>
      </c>
      <c r="E57">
        <v>2022.2</v>
      </c>
      <c r="F57">
        <v>112</v>
      </c>
      <c r="G57" s="70">
        <v>44531</v>
      </c>
      <c r="H57">
        <v>867</v>
      </c>
      <c r="I57">
        <v>0</v>
      </c>
      <c r="J57" s="2" t="s">
        <v>0</v>
      </c>
      <c r="K57">
        <v>850</v>
      </c>
      <c r="L57">
        <v>884</v>
      </c>
      <c r="M57">
        <v>881</v>
      </c>
      <c r="N57">
        <v>98.4</v>
      </c>
      <c r="O57" s="2" t="s">
        <v>28</v>
      </c>
      <c r="P57">
        <v>846</v>
      </c>
      <c r="Q57">
        <v>0</v>
      </c>
      <c r="R57" s="97"/>
      <c r="S57" s="2"/>
    </row>
    <row r="58" spans="1:19" x14ac:dyDescent="0.25">
      <c r="A58" s="96" t="str">
        <f t="shared" si="0"/>
        <v>Australian Capital TerritoryIn-training43891Initial</v>
      </c>
      <c r="B58" s="3">
        <v>57</v>
      </c>
      <c r="C58" s="2" t="s">
        <v>2</v>
      </c>
      <c r="D58" s="2" t="s">
        <v>80</v>
      </c>
      <c r="E58">
        <v>2020.3</v>
      </c>
      <c r="F58">
        <v>104</v>
      </c>
      <c r="G58" s="70">
        <v>43891</v>
      </c>
      <c r="H58">
        <v>6291</v>
      </c>
      <c r="I58">
        <v>0</v>
      </c>
      <c r="J58" s="2" t="s">
        <v>31</v>
      </c>
      <c r="K58">
        <v>6177</v>
      </c>
      <c r="L58">
        <v>6405</v>
      </c>
      <c r="M58">
        <v>6722</v>
      </c>
      <c r="N58">
        <v>93.6</v>
      </c>
      <c r="O58" s="2" t="s">
        <v>27</v>
      </c>
      <c r="P58">
        <v>6614</v>
      </c>
      <c r="Q58">
        <v>0</v>
      </c>
      <c r="R58" s="97"/>
      <c r="S58" s="2"/>
    </row>
    <row r="59" spans="1:19" x14ac:dyDescent="0.25">
      <c r="A59" s="96" t="str">
        <f t="shared" si="0"/>
        <v>Australian Capital TerritoryIn-training438911st revision</v>
      </c>
      <c r="B59" s="3">
        <v>58</v>
      </c>
      <c r="C59" s="2" t="s">
        <v>2</v>
      </c>
      <c r="D59" s="2" t="s">
        <v>80</v>
      </c>
      <c r="E59">
        <v>2020.3</v>
      </c>
      <c r="F59">
        <v>105</v>
      </c>
      <c r="G59" s="70">
        <v>43891</v>
      </c>
      <c r="H59">
        <v>6424</v>
      </c>
      <c r="I59">
        <v>0</v>
      </c>
      <c r="J59" s="2" t="s">
        <v>0</v>
      </c>
      <c r="K59">
        <v>6376</v>
      </c>
      <c r="L59">
        <v>6472</v>
      </c>
      <c r="M59">
        <v>6722</v>
      </c>
      <c r="N59">
        <v>95.6</v>
      </c>
      <c r="O59" s="2" t="s">
        <v>27</v>
      </c>
      <c r="P59">
        <v>6704</v>
      </c>
      <c r="Q59">
        <v>0</v>
      </c>
      <c r="R59" s="97"/>
      <c r="S59" s="2"/>
    </row>
    <row r="60" spans="1:19" x14ac:dyDescent="0.25">
      <c r="A60" s="96" t="str">
        <f t="shared" si="0"/>
        <v>Australian Capital TerritoryIn-training43983Initial</v>
      </c>
      <c r="B60" s="3">
        <v>59</v>
      </c>
      <c r="C60" s="2" t="s">
        <v>2</v>
      </c>
      <c r="D60" s="2" t="s">
        <v>80</v>
      </c>
      <c r="E60">
        <v>2020.4</v>
      </c>
      <c r="F60">
        <v>105</v>
      </c>
      <c r="G60" s="70">
        <v>43983</v>
      </c>
      <c r="H60">
        <v>6243</v>
      </c>
      <c r="I60">
        <v>0</v>
      </c>
      <c r="J60" s="2" t="s">
        <v>31</v>
      </c>
      <c r="K60">
        <v>6177</v>
      </c>
      <c r="L60">
        <v>6309</v>
      </c>
      <c r="M60">
        <v>6611</v>
      </c>
      <c r="N60">
        <v>94.4</v>
      </c>
      <c r="O60" s="2" t="s">
        <v>27</v>
      </c>
      <c r="P60">
        <v>6560</v>
      </c>
      <c r="Q60">
        <v>0</v>
      </c>
      <c r="R60" s="97"/>
      <c r="S60" s="2"/>
    </row>
    <row r="61" spans="1:19" x14ac:dyDescent="0.25">
      <c r="A61" s="96" t="str">
        <f t="shared" si="0"/>
        <v>Australian Capital TerritoryIn-training439831st revision</v>
      </c>
      <c r="B61" s="3">
        <v>60</v>
      </c>
      <c r="C61" s="2" t="s">
        <v>2</v>
      </c>
      <c r="D61" s="2" t="s">
        <v>80</v>
      </c>
      <c r="E61">
        <v>2020.4</v>
      </c>
      <c r="F61">
        <v>106</v>
      </c>
      <c r="G61" s="70">
        <v>43983</v>
      </c>
      <c r="H61">
        <v>6331</v>
      </c>
      <c r="I61">
        <v>0</v>
      </c>
      <c r="J61" s="2" t="s">
        <v>0</v>
      </c>
      <c r="K61">
        <v>6279</v>
      </c>
      <c r="L61">
        <v>6383</v>
      </c>
      <c r="M61">
        <v>6611</v>
      </c>
      <c r="N61">
        <v>95.8</v>
      </c>
      <c r="O61" s="2" t="s">
        <v>27</v>
      </c>
      <c r="P61">
        <v>6600</v>
      </c>
      <c r="Q61">
        <v>0</v>
      </c>
      <c r="R61" s="97"/>
      <c r="S61" s="2"/>
    </row>
    <row r="62" spans="1:19" x14ac:dyDescent="0.25">
      <c r="A62" s="96" t="str">
        <f t="shared" si="0"/>
        <v>Australian Capital TerritoryIn-training44075Initial</v>
      </c>
      <c r="B62" s="3">
        <v>61</v>
      </c>
      <c r="C62" s="2" t="s">
        <v>2</v>
      </c>
      <c r="D62" s="2" t="s">
        <v>80</v>
      </c>
      <c r="E62">
        <v>2021.1</v>
      </c>
      <c r="F62">
        <v>106</v>
      </c>
      <c r="G62" s="70">
        <v>44075</v>
      </c>
      <c r="H62">
        <v>6333</v>
      </c>
      <c r="I62">
        <v>0</v>
      </c>
      <c r="J62" s="2" t="s">
        <v>31</v>
      </c>
      <c r="K62">
        <v>6249</v>
      </c>
      <c r="L62">
        <v>6417</v>
      </c>
      <c r="M62">
        <v>6716</v>
      </c>
      <c r="N62">
        <v>94.3</v>
      </c>
      <c r="O62" s="2" t="s">
        <v>27</v>
      </c>
      <c r="P62">
        <v>6644</v>
      </c>
      <c r="Q62">
        <v>0</v>
      </c>
      <c r="R62" s="97"/>
      <c r="S62" s="2"/>
    </row>
    <row r="63" spans="1:19" x14ac:dyDescent="0.25">
      <c r="A63" s="96" t="str">
        <f t="shared" si="0"/>
        <v>Australian Capital TerritoryIn-training440751st revision</v>
      </c>
      <c r="B63" s="3">
        <v>62</v>
      </c>
      <c r="C63" s="2" t="s">
        <v>2</v>
      </c>
      <c r="D63" s="2" t="s">
        <v>80</v>
      </c>
      <c r="E63">
        <v>2021.1</v>
      </c>
      <c r="F63">
        <v>107</v>
      </c>
      <c r="G63" s="70">
        <v>44075</v>
      </c>
      <c r="H63">
        <v>6408</v>
      </c>
      <c r="I63">
        <v>0</v>
      </c>
      <c r="J63" s="2" t="s">
        <v>0</v>
      </c>
      <c r="K63">
        <v>6356</v>
      </c>
      <c r="L63">
        <v>6460</v>
      </c>
      <c r="M63">
        <v>6716</v>
      </c>
      <c r="N63">
        <v>95.4</v>
      </c>
      <c r="O63" s="2" t="s">
        <v>27</v>
      </c>
      <c r="P63">
        <v>6696</v>
      </c>
      <c r="Q63">
        <v>0</v>
      </c>
      <c r="R63" s="97"/>
      <c r="S63" s="2"/>
    </row>
    <row r="64" spans="1:19" x14ac:dyDescent="0.25">
      <c r="A64" s="96" t="str">
        <f t="shared" si="0"/>
        <v>Australian Capital TerritoryIn-training44166Initial</v>
      </c>
      <c r="B64" s="3">
        <v>63</v>
      </c>
      <c r="C64" s="2" t="s">
        <v>2</v>
      </c>
      <c r="D64" s="2" t="s">
        <v>80</v>
      </c>
      <c r="E64">
        <v>2021.2</v>
      </c>
      <c r="F64">
        <v>107</v>
      </c>
      <c r="G64" s="70">
        <v>44166</v>
      </c>
      <c r="H64">
        <v>6373</v>
      </c>
      <c r="I64">
        <v>0</v>
      </c>
      <c r="J64" s="2" t="s">
        <v>31</v>
      </c>
      <c r="K64">
        <v>6279</v>
      </c>
      <c r="L64">
        <v>6467</v>
      </c>
      <c r="M64">
        <v>6821</v>
      </c>
      <c r="N64">
        <v>93.4</v>
      </c>
      <c r="O64" s="2" t="s">
        <v>27</v>
      </c>
      <c r="P64">
        <v>6714</v>
      </c>
      <c r="Q64">
        <v>0</v>
      </c>
      <c r="R64" s="97"/>
      <c r="S64" s="2"/>
    </row>
    <row r="65" spans="1:19" x14ac:dyDescent="0.25">
      <c r="A65" s="96" t="str">
        <f t="shared" si="0"/>
        <v>Australian Capital TerritoryIn-training441661st revision</v>
      </c>
      <c r="B65" s="3">
        <v>64</v>
      </c>
      <c r="C65" s="2" t="s">
        <v>2</v>
      </c>
      <c r="D65" s="2" t="s">
        <v>80</v>
      </c>
      <c r="E65">
        <v>2021.2</v>
      </c>
      <c r="F65">
        <v>108</v>
      </c>
      <c r="G65" s="70">
        <v>44166</v>
      </c>
      <c r="H65">
        <v>6464</v>
      </c>
      <c r="I65">
        <v>0</v>
      </c>
      <c r="J65" s="2" t="s">
        <v>0</v>
      </c>
      <c r="K65">
        <v>6411</v>
      </c>
      <c r="L65">
        <v>6517</v>
      </c>
      <c r="M65">
        <v>6821</v>
      </c>
      <c r="N65">
        <v>94.8</v>
      </c>
      <c r="O65" s="2" t="s">
        <v>27</v>
      </c>
      <c r="P65">
        <v>6795</v>
      </c>
      <c r="Q65">
        <v>0</v>
      </c>
      <c r="R65" s="97"/>
      <c r="S65" s="2"/>
    </row>
    <row r="66" spans="1:19" x14ac:dyDescent="0.25">
      <c r="A66" s="96" t="str">
        <f t="shared" ref="A66:A129" si="1">CONCATENATE(C66,D66,G66,J66)</f>
        <v>New South WalesCancellations/withdrawals43891Initial</v>
      </c>
      <c r="B66" s="3">
        <v>65</v>
      </c>
      <c r="C66" s="2" t="s">
        <v>3</v>
      </c>
      <c r="D66" s="2" t="s">
        <v>77</v>
      </c>
      <c r="E66">
        <v>2020.3</v>
      </c>
      <c r="F66">
        <v>104</v>
      </c>
      <c r="G66" s="70">
        <v>43891</v>
      </c>
      <c r="H66">
        <v>7011</v>
      </c>
      <c r="I66">
        <v>0</v>
      </c>
      <c r="J66" s="2" t="s">
        <v>31</v>
      </c>
      <c r="K66">
        <v>6335</v>
      </c>
      <c r="L66">
        <v>7687</v>
      </c>
      <c r="M66">
        <v>7010</v>
      </c>
      <c r="N66">
        <v>100</v>
      </c>
      <c r="O66" s="2" t="s">
        <v>28</v>
      </c>
      <c r="P66">
        <v>5160</v>
      </c>
      <c r="Q66">
        <v>0</v>
      </c>
      <c r="R66" s="97"/>
      <c r="S66" s="2"/>
    </row>
    <row r="67" spans="1:19" x14ac:dyDescent="0.25">
      <c r="A67" s="96" t="str">
        <f t="shared" si="1"/>
        <v>New South WalesCancellations/withdrawals438911st revision</v>
      </c>
      <c r="B67" s="3">
        <v>66</v>
      </c>
      <c r="C67" s="2" t="s">
        <v>3</v>
      </c>
      <c r="D67" s="2" t="s">
        <v>77</v>
      </c>
      <c r="E67">
        <v>2020.3</v>
      </c>
      <c r="F67">
        <v>105</v>
      </c>
      <c r="G67" s="70">
        <v>43891</v>
      </c>
      <c r="H67">
        <v>6992</v>
      </c>
      <c r="I67">
        <v>0</v>
      </c>
      <c r="J67" s="2" t="s">
        <v>0</v>
      </c>
      <c r="K67">
        <v>6585</v>
      </c>
      <c r="L67">
        <v>7399</v>
      </c>
      <c r="M67">
        <v>7010</v>
      </c>
      <c r="N67">
        <v>99.7</v>
      </c>
      <c r="O67" s="2" t="s">
        <v>28</v>
      </c>
      <c r="P67">
        <v>6035</v>
      </c>
      <c r="Q67">
        <v>0</v>
      </c>
      <c r="R67" s="97"/>
      <c r="S67" s="2"/>
    </row>
    <row r="68" spans="1:19" x14ac:dyDescent="0.25">
      <c r="A68" s="96" t="str">
        <f t="shared" si="1"/>
        <v>New South WalesCancellations/withdrawals43983Initial</v>
      </c>
      <c r="B68" s="3">
        <v>67</v>
      </c>
      <c r="C68" s="2" t="s">
        <v>3</v>
      </c>
      <c r="D68" s="2" t="s">
        <v>77</v>
      </c>
      <c r="E68">
        <v>2020.4</v>
      </c>
      <c r="F68">
        <v>105</v>
      </c>
      <c r="G68" s="70">
        <v>43983</v>
      </c>
      <c r="H68">
        <v>5024</v>
      </c>
      <c r="I68">
        <v>0</v>
      </c>
      <c r="J68" s="2" t="s">
        <v>31</v>
      </c>
      <c r="K68">
        <v>4432</v>
      </c>
      <c r="L68">
        <v>5616</v>
      </c>
      <c r="M68">
        <v>4885</v>
      </c>
      <c r="N68">
        <v>102.8</v>
      </c>
      <c r="O68" s="2" t="s">
        <v>28</v>
      </c>
      <c r="P68">
        <v>3731</v>
      </c>
      <c r="Q68">
        <v>0</v>
      </c>
      <c r="R68" s="97"/>
      <c r="S68" s="2"/>
    </row>
    <row r="69" spans="1:19" x14ac:dyDescent="0.25">
      <c r="A69" s="96" t="str">
        <f t="shared" si="1"/>
        <v>New South WalesCancellations/withdrawals439831st revision</v>
      </c>
      <c r="B69" s="3">
        <v>68</v>
      </c>
      <c r="C69" s="2" t="s">
        <v>3</v>
      </c>
      <c r="D69" s="2" t="s">
        <v>77</v>
      </c>
      <c r="E69">
        <v>2020.4</v>
      </c>
      <c r="F69">
        <v>106</v>
      </c>
      <c r="G69" s="70">
        <v>43983</v>
      </c>
      <c r="H69">
        <v>4992</v>
      </c>
      <c r="I69">
        <v>0</v>
      </c>
      <c r="J69" s="2" t="s">
        <v>0</v>
      </c>
      <c r="K69">
        <v>4689</v>
      </c>
      <c r="L69">
        <v>5295</v>
      </c>
      <c r="M69">
        <v>4885</v>
      </c>
      <c r="N69">
        <v>102.2</v>
      </c>
      <c r="O69" s="2" t="s">
        <v>28</v>
      </c>
      <c r="P69">
        <v>4322</v>
      </c>
      <c r="Q69">
        <v>0</v>
      </c>
      <c r="R69" s="97"/>
      <c r="S69" s="2"/>
    </row>
    <row r="70" spans="1:19" x14ac:dyDescent="0.25">
      <c r="A70" s="96" t="str">
        <f t="shared" si="1"/>
        <v>New South WalesCancellations/withdrawals44075Initial</v>
      </c>
      <c r="B70" s="3">
        <v>69</v>
      </c>
      <c r="C70" s="2" t="s">
        <v>3</v>
      </c>
      <c r="D70" s="2" t="s">
        <v>77</v>
      </c>
      <c r="E70">
        <v>2021.1</v>
      </c>
      <c r="F70">
        <v>106</v>
      </c>
      <c r="G70" s="70">
        <v>44075</v>
      </c>
      <c r="H70">
        <v>6066</v>
      </c>
      <c r="I70">
        <v>0</v>
      </c>
      <c r="J70" s="2" t="s">
        <v>31</v>
      </c>
      <c r="K70">
        <v>5310</v>
      </c>
      <c r="L70">
        <v>6822</v>
      </c>
      <c r="M70">
        <v>5672</v>
      </c>
      <c r="N70">
        <v>106.9</v>
      </c>
      <c r="O70" s="2" t="s">
        <v>28</v>
      </c>
      <c r="P70">
        <v>4517</v>
      </c>
      <c r="Q70">
        <v>0</v>
      </c>
      <c r="R70" s="97"/>
      <c r="S70" s="2"/>
    </row>
    <row r="71" spans="1:19" x14ac:dyDescent="0.25">
      <c r="A71" s="96" t="str">
        <f t="shared" si="1"/>
        <v>New South WalesCancellations/withdrawals440751st revision</v>
      </c>
      <c r="B71" s="3">
        <v>70</v>
      </c>
      <c r="C71" s="2" t="s">
        <v>3</v>
      </c>
      <c r="D71" s="2" t="s">
        <v>77</v>
      </c>
      <c r="E71">
        <v>2021.1</v>
      </c>
      <c r="F71">
        <v>107</v>
      </c>
      <c r="G71" s="70">
        <v>44075</v>
      </c>
      <c r="H71">
        <v>5842</v>
      </c>
      <c r="I71">
        <v>0</v>
      </c>
      <c r="J71" s="2" t="s">
        <v>0</v>
      </c>
      <c r="K71">
        <v>5581</v>
      </c>
      <c r="L71">
        <v>6103</v>
      </c>
      <c r="M71">
        <v>5672</v>
      </c>
      <c r="N71">
        <v>103</v>
      </c>
      <c r="O71" s="2" t="s">
        <v>28</v>
      </c>
      <c r="P71">
        <v>5074</v>
      </c>
      <c r="Q71">
        <v>0</v>
      </c>
      <c r="R71" s="97"/>
      <c r="S71" s="2"/>
    </row>
    <row r="72" spans="1:19" x14ac:dyDescent="0.25">
      <c r="A72" s="96" t="str">
        <f t="shared" si="1"/>
        <v>New South WalesCancellations/withdrawals44166Initial</v>
      </c>
      <c r="B72" s="3">
        <v>71</v>
      </c>
      <c r="C72" s="2" t="s">
        <v>3</v>
      </c>
      <c r="D72" s="2" t="s">
        <v>77</v>
      </c>
      <c r="E72">
        <v>2021.2</v>
      </c>
      <c r="F72">
        <v>107</v>
      </c>
      <c r="G72" s="70">
        <v>44166</v>
      </c>
      <c r="H72">
        <v>6515</v>
      </c>
      <c r="I72">
        <v>0</v>
      </c>
      <c r="J72" s="2" t="s">
        <v>31</v>
      </c>
      <c r="K72">
        <v>5899</v>
      </c>
      <c r="L72">
        <v>7131</v>
      </c>
      <c r="M72">
        <v>6458</v>
      </c>
      <c r="N72">
        <v>100.9</v>
      </c>
      <c r="O72" s="2" t="s">
        <v>28</v>
      </c>
      <c r="P72">
        <v>4885</v>
      </c>
      <c r="Q72">
        <v>0</v>
      </c>
      <c r="R72" s="97"/>
      <c r="S72" s="2"/>
    </row>
    <row r="73" spans="1:19" x14ac:dyDescent="0.25">
      <c r="A73" s="96" t="str">
        <f t="shared" si="1"/>
        <v>New South WalesCancellations/withdrawals441661st revision</v>
      </c>
      <c r="B73" s="3">
        <v>72</v>
      </c>
      <c r="C73" s="2" t="s">
        <v>3</v>
      </c>
      <c r="D73" s="2" t="s">
        <v>77</v>
      </c>
      <c r="E73">
        <v>2021.2</v>
      </c>
      <c r="F73">
        <v>108</v>
      </c>
      <c r="G73" s="70">
        <v>44166</v>
      </c>
      <c r="H73">
        <v>6485</v>
      </c>
      <c r="I73">
        <v>0</v>
      </c>
      <c r="J73" s="2" t="s">
        <v>0</v>
      </c>
      <c r="K73">
        <v>6275</v>
      </c>
      <c r="L73">
        <v>6695</v>
      </c>
      <c r="M73">
        <v>6458</v>
      </c>
      <c r="N73">
        <v>100.4</v>
      </c>
      <c r="O73" s="2" t="s">
        <v>28</v>
      </c>
      <c r="P73">
        <v>5658</v>
      </c>
      <c r="Q73">
        <v>0</v>
      </c>
      <c r="R73" s="97"/>
      <c r="S73" s="2"/>
    </row>
    <row r="74" spans="1:19" x14ac:dyDescent="0.25">
      <c r="A74" s="96" t="str">
        <f t="shared" si="1"/>
        <v>New South WalesCommencements44256Initial</v>
      </c>
      <c r="B74" s="3">
        <v>73</v>
      </c>
      <c r="C74" s="2" t="s">
        <v>3</v>
      </c>
      <c r="D74" s="2" t="s">
        <v>78</v>
      </c>
      <c r="E74">
        <v>2021.3</v>
      </c>
      <c r="F74">
        <v>108</v>
      </c>
      <c r="G74" s="70">
        <v>44256</v>
      </c>
      <c r="H74">
        <v>19940</v>
      </c>
      <c r="I74">
        <v>0</v>
      </c>
      <c r="J74" s="2" t="s">
        <v>31</v>
      </c>
      <c r="K74">
        <v>19333</v>
      </c>
      <c r="L74">
        <v>20547</v>
      </c>
      <c r="M74">
        <v>21388</v>
      </c>
      <c r="N74">
        <v>93.2</v>
      </c>
      <c r="O74" s="2" t="s">
        <v>27</v>
      </c>
      <c r="P74">
        <v>18978</v>
      </c>
      <c r="Q74">
        <v>0</v>
      </c>
      <c r="R74" s="97"/>
      <c r="S74" s="2"/>
    </row>
    <row r="75" spans="1:19" x14ac:dyDescent="0.25">
      <c r="A75" s="96" t="str">
        <f t="shared" si="1"/>
        <v>New South WalesCommencements442561st revision</v>
      </c>
      <c r="B75" s="3">
        <v>74</v>
      </c>
      <c r="C75" s="2" t="s">
        <v>3</v>
      </c>
      <c r="D75" s="2" t="s">
        <v>78</v>
      </c>
      <c r="E75">
        <v>2021.3</v>
      </c>
      <c r="F75">
        <v>109</v>
      </c>
      <c r="G75" s="70">
        <v>44256</v>
      </c>
      <c r="H75">
        <v>21247</v>
      </c>
      <c r="I75">
        <v>0</v>
      </c>
      <c r="J75" s="2" t="s">
        <v>0</v>
      </c>
      <c r="K75">
        <v>20971</v>
      </c>
      <c r="L75">
        <v>21523</v>
      </c>
      <c r="M75">
        <v>21388</v>
      </c>
      <c r="N75">
        <v>99.3</v>
      </c>
      <c r="O75" s="2" t="s">
        <v>27</v>
      </c>
      <c r="P75">
        <v>21030</v>
      </c>
      <c r="Q75">
        <v>0</v>
      </c>
      <c r="R75" s="97"/>
      <c r="S75" s="2"/>
    </row>
    <row r="76" spans="1:19" x14ac:dyDescent="0.25">
      <c r="A76" s="96" t="str">
        <f t="shared" si="1"/>
        <v>New South WalesCommencements44348Initial</v>
      </c>
      <c r="B76" s="3">
        <v>75</v>
      </c>
      <c r="C76" s="2" t="s">
        <v>3</v>
      </c>
      <c r="D76" s="2" t="s">
        <v>78</v>
      </c>
      <c r="E76">
        <v>2021.4</v>
      </c>
      <c r="F76">
        <v>109</v>
      </c>
      <c r="G76" s="70">
        <v>44348</v>
      </c>
      <c r="H76">
        <v>12498</v>
      </c>
      <c r="I76">
        <v>0</v>
      </c>
      <c r="J76" s="2" t="s">
        <v>31</v>
      </c>
      <c r="K76">
        <v>10826</v>
      </c>
      <c r="L76">
        <v>14170</v>
      </c>
      <c r="M76">
        <v>12918</v>
      </c>
      <c r="N76">
        <v>96.7</v>
      </c>
      <c r="O76" s="2" t="s">
        <v>28</v>
      </c>
      <c r="P76">
        <v>11658</v>
      </c>
      <c r="Q76">
        <v>0</v>
      </c>
      <c r="R76" s="97"/>
      <c r="S76" s="2"/>
    </row>
    <row r="77" spans="1:19" x14ac:dyDescent="0.25">
      <c r="A77" s="96" t="str">
        <f t="shared" si="1"/>
        <v>New South WalesCommencements443481st revision</v>
      </c>
      <c r="B77" s="3">
        <v>76</v>
      </c>
      <c r="C77" s="2" t="s">
        <v>3</v>
      </c>
      <c r="D77" s="2" t="s">
        <v>78</v>
      </c>
      <c r="E77">
        <v>2021.4</v>
      </c>
      <c r="F77">
        <v>110</v>
      </c>
      <c r="G77" s="70">
        <v>44348</v>
      </c>
      <c r="H77">
        <v>12771</v>
      </c>
      <c r="I77">
        <v>0</v>
      </c>
      <c r="J77" s="2" t="s">
        <v>0</v>
      </c>
      <c r="K77">
        <v>12596</v>
      </c>
      <c r="L77">
        <v>12946</v>
      </c>
      <c r="M77">
        <v>12918</v>
      </c>
      <c r="N77">
        <v>98.9</v>
      </c>
      <c r="O77" s="2" t="s">
        <v>28</v>
      </c>
      <c r="P77">
        <v>12631</v>
      </c>
      <c r="Q77">
        <v>0</v>
      </c>
      <c r="R77" s="97"/>
      <c r="S77" s="2"/>
    </row>
    <row r="78" spans="1:19" x14ac:dyDescent="0.25">
      <c r="A78" s="96" t="str">
        <f t="shared" si="1"/>
        <v>New South WalesCommencements44440Initial</v>
      </c>
      <c r="B78" s="3">
        <v>77</v>
      </c>
      <c r="C78" s="2" t="s">
        <v>3</v>
      </c>
      <c r="D78" s="2" t="s">
        <v>78</v>
      </c>
      <c r="E78">
        <v>2022.1</v>
      </c>
      <c r="F78">
        <v>110</v>
      </c>
      <c r="G78" s="70">
        <v>44440</v>
      </c>
      <c r="H78">
        <v>10902</v>
      </c>
      <c r="I78">
        <v>0</v>
      </c>
      <c r="J78" s="2" t="s">
        <v>31</v>
      </c>
      <c r="K78">
        <v>9421</v>
      </c>
      <c r="L78">
        <v>12383</v>
      </c>
      <c r="M78">
        <v>11213</v>
      </c>
      <c r="N78">
        <v>97.2</v>
      </c>
      <c r="O78" s="2" t="s">
        <v>28</v>
      </c>
      <c r="P78">
        <v>10195</v>
      </c>
      <c r="Q78">
        <v>0</v>
      </c>
      <c r="R78" s="97"/>
      <c r="S78" s="2"/>
    </row>
    <row r="79" spans="1:19" x14ac:dyDescent="0.25">
      <c r="A79" s="96" t="str">
        <f t="shared" si="1"/>
        <v>New South WalesCommencements444401st revision</v>
      </c>
      <c r="B79" s="3">
        <v>78</v>
      </c>
      <c r="C79" s="2" t="s">
        <v>3</v>
      </c>
      <c r="D79" s="2" t="s">
        <v>78</v>
      </c>
      <c r="E79">
        <v>2022.1</v>
      </c>
      <c r="F79">
        <v>111</v>
      </c>
      <c r="G79" s="70">
        <v>44440</v>
      </c>
      <c r="H79">
        <v>11034</v>
      </c>
      <c r="I79">
        <v>0</v>
      </c>
      <c r="J79" s="2" t="s">
        <v>0</v>
      </c>
      <c r="K79">
        <v>10851</v>
      </c>
      <c r="L79">
        <v>11217</v>
      </c>
      <c r="M79">
        <v>11213</v>
      </c>
      <c r="N79">
        <v>98.4</v>
      </c>
      <c r="O79" s="2" t="s">
        <v>28</v>
      </c>
      <c r="P79">
        <v>10892</v>
      </c>
      <c r="Q79">
        <v>0</v>
      </c>
      <c r="R79" s="97"/>
      <c r="S79" s="2"/>
    </row>
    <row r="80" spans="1:19" x14ac:dyDescent="0.25">
      <c r="A80" s="96" t="str">
        <f t="shared" si="1"/>
        <v>New South WalesCommencements44531Initial</v>
      </c>
      <c r="B80" s="3">
        <v>79</v>
      </c>
      <c r="C80" s="2" t="s">
        <v>3</v>
      </c>
      <c r="D80" s="2" t="s">
        <v>78</v>
      </c>
      <c r="E80">
        <v>2022.2</v>
      </c>
      <c r="F80">
        <v>111</v>
      </c>
      <c r="G80" s="70">
        <v>44531</v>
      </c>
      <c r="H80">
        <v>12201</v>
      </c>
      <c r="I80">
        <v>0</v>
      </c>
      <c r="J80" s="2" t="s">
        <v>31</v>
      </c>
      <c r="K80">
        <v>10498</v>
      </c>
      <c r="L80">
        <v>13904</v>
      </c>
      <c r="M80">
        <v>13129</v>
      </c>
      <c r="N80">
        <v>92.9</v>
      </c>
      <c r="O80" s="2" t="s">
        <v>28</v>
      </c>
      <c r="P80">
        <v>11301</v>
      </c>
      <c r="Q80">
        <v>0</v>
      </c>
      <c r="R80" s="97"/>
      <c r="S80" s="2"/>
    </row>
    <row r="81" spans="1:19" x14ac:dyDescent="0.25">
      <c r="A81" s="96" t="str">
        <f t="shared" si="1"/>
        <v>New South WalesCommencements445311st revision</v>
      </c>
      <c r="B81" s="3">
        <v>80</v>
      </c>
      <c r="C81" s="2" t="s">
        <v>3</v>
      </c>
      <c r="D81" s="2" t="s">
        <v>78</v>
      </c>
      <c r="E81">
        <v>2022.2</v>
      </c>
      <c r="F81">
        <v>112</v>
      </c>
      <c r="G81" s="70">
        <v>44531</v>
      </c>
      <c r="H81">
        <v>13016</v>
      </c>
      <c r="I81">
        <v>0</v>
      </c>
      <c r="J81" s="2" t="s">
        <v>0</v>
      </c>
      <c r="K81">
        <v>12814</v>
      </c>
      <c r="L81">
        <v>13218</v>
      </c>
      <c r="M81">
        <v>13129</v>
      </c>
      <c r="N81">
        <v>99.1</v>
      </c>
      <c r="O81" s="2" t="s">
        <v>28</v>
      </c>
      <c r="P81">
        <v>12829</v>
      </c>
      <c r="Q81">
        <v>0</v>
      </c>
      <c r="R81" s="97"/>
      <c r="S81" s="2"/>
    </row>
    <row r="82" spans="1:19" x14ac:dyDescent="0.25">
      <c r="A82" s="96" t="str">
        <f t="shared" si="1"/>
        <v>New South WalesCompletions44256Initial</v>
      </c>
      <c r="B82" s="3">
        <v>81</v>
      </c>
      <c r="C82" s="2" t="s">
        <v>3</v>
      </c>
      <c r="D82" s="2" t="s">
        <v>79</v>
      </c>
      <c r="E82">
        <v>2021.3</v>
      </c>
      <c r="F82">
        <v>108</v>
      </c>
      <c r="G82" s="70">
        <v>44256</v>
      </c>
      <c r="H82">
        <v>6725</v>
      </c>
      <c r="I82">
        <v>0</v>
      </c>
      <c r="J82" s="2" t="s">
        <v>31</v>
      </c>
      <c r="K82">
        <v>6577</v>
      </c>
      <c r="L82">
        <v>6873</v>
      </c>
      <c r="M82">
        <v>6671</v>
      </c>
      <c r="N82">
        <v>100.8</v>
      </c>
      <c r="O82" s="2" t="s">
        <v>28</v>
      </c>
      <c r="P82">
        <v>6305</v>
      </c>
      <c r="Q82">
        <v>0</v>
      </c>
      <c r="R82" s="97"/>
      <c r="S82" s="2"/>
    </row>
    <row r="83" spans="1:19" x14ac:dyDescent="0.25">
      <c r="A83" s="96" t="str">
        <f t="shared" si="1"/>
        <v>New South WalesCompletions442561st revision</v>
      </c>
      <c r="B83" s="3">
        <v>82</v>
      </c>
      <c r="C83" s="2" t="s">
        <v>3</v>
      </c>
      <c r="D83" s="2" t="s">
        <v>79</v>
      </c>
      <c r="E83">
        <v>2021.3</v>
      </c>
      <c r="F83">
        <v>109</v>
      </c>
      <c r="G83" s="70">
        <v>44256</v>
      </c>
      <c r="H83">
        <v>6743</v>
      </c>
      <c r="I83">
        <v>0</v>
      </c>
      <c r="J83" s="2" t="s">
        <v>0</v>
      </c>
      <c r="K83">
        <v>6670</v>
      </c>
      <c r="L83">
        <v>6816</v>
      </c>
      <c r="M83">
        <v>6671</v>
      </c>
      <c r="N83">
        <v>101.1</v>
      </c>
      <c r="O83" s="2" t="s">
        <v>28</v>
      </c>
      <c r="P83">
        <v>6556</v>
      </c>
      <c r="Q83">
        <v>0</v>
      </c>
      <c r="R83" s="97"/>
      <c r="S83" s="2"/>
    </row>
    <row r="84" spans="1:19" x14ac:dyDescent="0.25">
      <c r="A84" s="96" t="str">
        <f t="shared" si="1"/>
        <v>New South WalesCompletions44348Initial</v>
      </c>
      <c r="B84" s="3">
        <v>83</v>
      </c>
      <c r="C84" s="2" t="s">
        <v>3</v>
      </c>
      <c r="D84" s="2" t="s">
        <v>79</v>
      </c>
      <c r="E84">
        <v>2021.4</v>
      </c>
      <c r="F84">
        <v>109</v>
      </c>
      <c r="G84" s="70">
        <v>44348</v>
      </c>
      <c r="H84">
        <v>5142</v>
      </c>
      <c r="I84">
        <v>0</v>
      </c>
      <c r="J84" s="2" t="s">
        <v>31</v>
      </c>
      <c r="K84">
        <v>5038</v>
      </c>
      <c r="L84">
        <v>5246</v>
      </c>
      <c r="M84">
        <v>5166</v>
      </c>
      <c r="N84">
        <v>99.5</v>
      </c>
      <c r="O84" s="2" t="s">
        <v>28</v>
      </c>
      <c r="P84">
        <v>4819</v>
      </c>
      <c r="Q84">
        <v>0</v>
      </c>
      <c r="R84" s="97"/>
      <c r="S84" s="2"/>
    </row>
    <row r="85" spans="1:19" x14ac:dyDescent="0.25">
      <c r="A85" s="96" t="str">
        <f t="shared" si="1"/>
        <v>New South WalesCompletions443481st revision</v>
      </c>
      <c r="B85" s="3">
        <v>84</v>
      </c>
      <c r="C85" s="2" t="s">
        <v>3</v>
      </c>
      <c r="D85" s="2" t="s">
        <v>79</v>
      </c>
      <c r="E85">
        <v>2021.4</v>
      </c>
      <c r="F85">
        <v>110</v>
      </c>
      <c r="G85" s="70">
        <v>44348</v>
      </c>
      <c r="H85">
        <v>5194</v>
      </c>
      <c r="I85">
        <v>0</v>
      </c>
      <c r="J85" s="2" t="s">
        <v>0</v>
      </c>
      <c r="K85">
        <v>5137</v>
      </c>
      <c r="L85">
        <v>5251</v>
      </c>
      <c r="M85">
        <v>5166</v>
      </c>
      <c r="N85">
        <v>100.5</v>
      </c>
      <c r="O85" s="2" t="s">
        <v>28</v>
      </c>
      <c r="P85">
        <v>5050</v>
      </c>
      <c r="Q85">
        <v>0</v>
      </c>
      <c r="R85" s="97"/>
      <c r="S85" s="2"/>
    </row>
    <row r="86" spans="1:19" x14ac:dyDescent="0.25">
      <c r="A86" s="96" t="str">
        <f t="shared" si="1"/>
        <v>New South WalesCompletions44440Initial</v>
      </c>
      <c r="B86" s="3">
        <v>85</v>
      </c>
      <c r="C86" s="2" t="s">
        <v>3</v>
      </c>
      <c r="D86" s="2" t="s">
        <v>79</v>
      </c>
      <c r="E86">
        <v>2022.1</v>
      </c>
      <c r="F86">
        <v>110</v>
      </c>
      <c r="G86" s="70">
        <v>44440</v>
      </c>
      <c r="H86">
        <v>4921</v>
      </c>
      <c r="I86">
        <v>0</v>
      </c>
      <c r="J86" s="2" t="s">
        <v>31</v>
      </c>
      <c r="K86">
        <v>4818</v>
      </c>
      <c r="L86">
        <v>5024</v>
      </c>
      <c r="M86">
        <v>4886</v>
      </c>
      <c r="N86">
        <v>100.7</v>
      </c>
      <c r="O86" s="2" t="s">
        <v>28</v>
      </c>
      <c r="P86">
        <v>4611</v>
      </c>
      <c r="Q86">
        <v>0</v>
      </c>
      <c r="R86" s="97"/>
      <c r="S86" s="2"/>
    </row>
    <row r="87" spans="1:19" x14ac:dyDescent="0.25">
      <c r="A87" s="96" t="str">
        <f t="shared" si="1"/>
        <v>New South WalesCompletions444401st revision</v>
      </c>
      <c r="B87" s="3">
        <v>86</v>
      </c>
      <c r="C87" s="2" t="s">
        <v>3</v>
      </c>
      <c r="D87" s="2" t="s">
        <v>79</v>
      </c>
      <c r="E87">
        <v>2022.1</v>
      </c>
      <c r="F87">
        <v>111</v>
      </c>
      <c r="G87" s="70">
        <v>44440</v>
      </c>
      <c r="H87">
        <v>4916</v>
      </c>
      <c r="I87">
        <v>0</v>
      </c>
      <c r="J87" s="2" t="s">
        <v>0</v>
      </c>
      <c r="K87">
        <v>4876</v>
      </c>
      <c r="L87">
        <v>4956</v>
      </c>
      <c r="M87">
        <v>4886</v>
      </c>
      <c r="N87">
        <v>100.6</v>
      </c>
      <c r="O87" s="2" t="s">
        <v>28</v>
      </c>
      <c r="P87">
        <v>4780</v>
      </c>
      <c r="Q87">
        <v>0</v>
      </c>
      <c r="R87" s="97"/>
      <c r="S87" s="2"/>
    </row>
    <row r="88" spans="1:19" x14ac:dyDescent="0.25">
      <c r="A88" s="96" t="str">
        <f t="shared" si="1"/>
        <v>New South WalesCompletions44531Initial</v>
      </c>
      <c r="B88" s="3">
        <v>87</v>
      </c>
      <c r="C88" s="2" t="s">
        <v>3</v>
      </c>
      <c r="D88" s="2" t="s">
        <v>79</v>
      </c>
      <c r="E88">
        <v>2022.2</v>
      </c>
      <c r="F88">
        <v>111</v>
      </c>
      <c r="G88" s="70">
        <v>44531</v>
      </c>
      <c r="H88">
        <v>6423</v>
      </c>
      <c r="I88">
        <v>0</v>
      </c>
      <c r="J88" s="2" t="s">
        <v>31</v>
      </c>
      <c r="K88">
        <v>6299</v>
      </c>
      <c r="L88">
        <v>6547</v>
      </c>
      <c r="M88">
        <v>6584</v>
      </c>
      <c r="N88">
        <v>97.6</v>
      </c>
      <c r="O88" s="2" t="s">
        <v>27</v>
      </c>
      <c r="P88">
        <v>6018</v>
      </c>
      <c r="Q88">
        <v>0</v>
      </c>
      <c r="R88" s="97"/>
      <c r="S88" s="2"/>
    </row>
    <row r="89" spans="1:19" x14ac:dyDescent="0.25">
      <c r="A89" s="96" t="str">
        <f t="shared" si="1"/>
        <v>New South WalesCompletions445311st revision</v>
      </c>
      <c r="B89" s="3">
        <v>88</v>
      </c>
      <c r="C89" s="2" t="s">
        <v>3</v>
      </c>
      <c r="D89" s="2" t="s">
        <v>79</v>
      </c>
      <c r="E89">
        <v>2022.2</v>
      </c>
      <c r="F89">
        <v>112</v>
      </c>
      <c r="G89" s="70">
        <v>44531</v>
      </c>
      <c r="H89">
        <v>6509</v>
      </c>
      <c r="I89">
        <v>0</v>
      </c>
      <c r="J89" s="2" t="s">
        <v>0</v>
      </c>
      <c r="K89">
        <v>6435</v>
      </c>
      <c r="L89">
        <v>6583</v>
      </c>
      <c r="M89">
        <v>6584</v>
      </c>
      <c r="N89">
        <v>98.9</v>
      </c>
      <c r="O89" s="2" t="s">
        <v>27</v>
      </c>
      <c r="P89">
        <v>6330</v>
      </c>
      <c r="Q89">
        <v>0</v>
      </c>
      <c r="R89" s="97"/>
      <c r="S89" s="2"/>
    </row>
    <row r="90" spans="1:19" x14ac:dyDescent="0.25">
      <c r="A90" s="96" t="str">
        <f t="shared" si="1"/>
        <v>New South WalesIn-training43891Initial</v>
      </c>
      <c r="B90" s="3">
        <v>89</v>
      </c>
      <c r="C90" s="2" t="s">
        <v>3</v>
      </c>
      <c r="D90" s="2" t="s">
        <v>80</v>
      </c>
      <c r="E90">
        <v>2020.3</v>
      </c>
      <c r="F90">
        <v>104</v>
      </c>
      <c r="G90" s="70">
        <v>43891</v>
      </c>
      <c r="H90">
        <v>86160</v>
      </c>
      <c r="I90">
        <v>0</v>
      </c>
      <c r="J90" s="2" t="s">
        <v>31</v>
      </c>
      <c r="K90">
        <v>84854</v>
      </c>
      <c r="L90">
        <v>87466</v>
      </c>
      <c r="M90">
        <v>85627</v>
      </c>
      <c r="N90">
        <v>100.6</v>
      </c>
      <c r="O90" s="2" t="s">
        <v>28</v>
      </c>
      <c r="P90">
        <v>88421</v>
      </c>
      <c r="Q90">
        <v>0</v>
      </c>
      <c r="R90" s="97"/>
      <c r="S90" s="2"/>
    </row>
    <row r="91" spans="1:19" x14ac:dyDescent="0.25">
      <c r="A91" s="96" t="str">
        <f t="shared" si="1"/>
        <v>New South WalesIn-training438911st revision</v>
      </c>
      <c r="B91" s="3">
        <v>90</v>
      </c>
      <c r="C91" s="2" t="s">
        <v>3</v>
      </c>
      <c r="D91" s="2" t="s">
        <v>80</v>
      </c>
      <c r="E91">
        <v>2020.3</v>
      </c>
      <c r="F91">
        <v>105</v>
      </c>
      <c r="G91" s="70">
        <v>43891</v>
      </c>
      <c r="H91">
        <v>86494</v>
      </c>
      <c r="I91">
        <v>0</v>
      </c>
      <c r="J91" s="2" t="s">
        <v>0</v>
      </c>
      <c r="K91">
        <v>85574</v>
      </c>
      <c r="L91">
        <v>87414</v>
      </c>
      <c r="M91">
        <v>85627</v>
      </c>
      <c r="N91">
        <v>101</v>
      </c>
      <c r="O91" s="2" t="s">
        <v>28</v>
      </c>
      <c r="P91">
        <v>87636</v>
      </c>
      <c r="Q91">
        <v>0</v>
      </c>
      <c r="R91" s="97"/>
      <c r="S91" s="2"/>
    </row>
    <row r="92" spans="1:19" x14ac:dyDescent="0.25">
      <c r="A92" s="96" t="str">
        <f t="shared" si="1"/>
        <v>New South WalesIn-training43983Initial</v>
      </c>
      <c r="B92" s="3">
        <v>91</v>
      </c>
      <c r="C92" s="2" t="s">
        <v>3</v>
      </c>
      <c r="D92" s="2" t="s">
        <v>80</v>
      </c>
      <c r="E92">
        <v>2020.4</v>
      </c>
      <c r="F92">
        <v>105</v>
      </c>
      <c r="G92" s="70">
        <v>43983</v>
      </c>
      <c r="H92">
        <v>84599</v>
      </c>
      <c r="I92">
        <v>0</v>
      </c>
      <c r="J92" s="2" t="s">
        <v>31</v>
      </c>
      <c r="K92">
        <v>83461</v>
      </c>
      <c r="L92">
        <v>85737</v>
      </c>
      <c r="M92">
        <v>84837</v>
      </c>
      <c r="N92">
        <v>99.7</v>
      </c>
      <c r="O92" s="2" t="s">
        <v>28</v>
      </c>
      <c r="P92">
        <v>86663</v>
      </c>
      <c r="Q92">
        <v>0</v>
      </c>
      <c r="R92" s="97"/>
      <c r="S92" s="2"/>
    </row>
    <row r="93" spans="1:19" x14ac:dyDescent="0.25">
      <c r="A93" s="96" t="str">
        <f t="shared" si="1"/>
        <v>New South WalesIn-training439831st revision</v>
      </c>
      <c r="B93" s="3">
        <v>92</v>
      </c>
      <c r="C93" s="2" t="s">
        <v>3</v>
      </c>
      <c r="D93" s="2" t="s">
        <v>80</v>
      </c>
      <c r="E93">
        <v>2020.4</v>
      </c>
      <c r="F93">
        <v>106</v>
      </c>
      <c r="G93" s="70">
        <v>43983</v>
      </c>
      <c r="H93">
        <v>85412</v>
      </c>
      <c r="I93">
        <v>0</v>
      </c>
      <c r="J93" s="2" t="s">
        <v>0</v>
      </c>
      <c r="K93">
        <v>84601</v>
      </c>
      <c r="L93">
        <v>86223</v>
      </c>
      <c r="M93">
        <v>84837</v>
      </c>
      <c r="N93">
        <v>100.7</v>
      </c>
      <c r="O93" s="2" t="s">
        <v>28</v>
      </c>
      <c r="P93">
        <v>86470</v>
      </c>
      <c r="Q93">
        <v>0</v>
      </c>
      <c r="R93" s="97"/>
      <c r="S93" s="2"/>
    </row>
    <row r="94" spans="1:19" x14ac:dyDescent="0.25">
      <c r="A94" s="96" t="str">
        <f t="shared" si="1"/>
        <v>New South WalesIn-training44075Initial</v>
      </c>
      <c r="B94" s="3">
        <v>93</v>
      </c>
      <c r="C94" s="2" t="s">
        <v>3</v>
      </c>
      <c r="D94" s="2" t="s">
        <v>80</v>
      </c>
      <c r="E94">
        <v>2021.1</v>
      </c>
      <c r="F94">
        <v>106</v>
      </c>
      <c r="G94" s="70">
        <v>44075</v>
      </c>
      <c r="H94">
        <v>83500</v>
      </c>
      <c r="I94">
        <v>0</v>
      </c>
      <c r="J94" s="2" t="s">
        <v>31</v>
      </c>
      <c r="K94">
        <v>82344</v>
      </c>
      <c r="L94">
        <v>84656</v>
      </c>
      <c r="M94">
        <v>83417</v>
      </c>
      <c r="N94">
        <v>100.1</v>
      </c>
      <c r="O94" s="2" t="s">
        <v>28</v>
      </c>
      <c r="P94">
        <v>85737</v>
      </c>
      <c r="Q94">
        <v>0</v>
      </c>
      <c r="R94" s="97"/>
      <c r="S94" s="2"/>
    </row>
    <row r="95" spans="1:19" x14ac:dyDescent="0.25">
      <c r="A95" s="96" t="str">
        <f t="shared" si="1"/>
        <v>New South WalesIn-training440751st revision</v>
      </c>
      <c r="B95" s="3">
        <v>94</v>
      </c>
      <c r="C95" s="2" t="s">
        <v>3</v>
      </c>
      <c r="D95" s="2" t="s">
        <v>80</v>
      </c>
      <c r="E95">
        <v>2021.1</v>
      </c>
      <c r="F95">
        <v>107</v>
      </c>
      <c r="G95" s="70">
        <v>44075</v>
      </c>
      <c r="H95">
        <v>83763</v>
      </c>
      <c r="I95">
        <v>0</v>
      </c>
      <c r="J95" s="2" t="s">
        <v>0</v>
      </c>
      <c r="K95">
        <v>83123</v>
      </c>
      <c r="L95">
        <v>84403</v>
      </c>
      <c r="M95">
        <v>83417</v>
      </c>
      <c r="N95">
        <v>100.4</v>
      </c>
      <c r="O95" s="2" t="s">
        <v>28</v>
      </c>
      <c r="P95">
        <v>84961</v>
      </c>
      <c r="Q95">
        <v>0</v>
      </c>
      <c r="R95" s="97"/>
      <c r="S95" s="2"/>
    </row>
    <row r="96" spans="1:19" x14ac:dyDescent="0.25">
      <c r="A96" s="96" t="str">
        <f t="shared" si="1"/>
        <v>New South WalesIn-training44166Initial</v>
      </c>
      <c r="B96" s="3">
        <v>95</v>
      </c>
      <c r="C96" s="2" t="s">
        <v>3</v>
      </c>
      <c r="D96" s="2" t="s">
        <v>80</v>
      </c>
      <c r="E96">
        <v>2021.2</v>
      </c>
      <c r="F96">
        <v>107</v>
      </c>
      <c r="G96" s="70">
        <v>44166</v>
      </c>
      <c r="H96">
        <v>93880</v>
      </c>
      <c r="I96">
        <v>0</v>
      </c>
      <c r="J96" s="2" t="s">
        <v>31</v>
      </c>
      <c r="K96">
        <v>92747</v>
      </c>
      <c r="L96">
        <v>95013</v>
      </c>
      <c r="M96">
        <v>95559</v>
      </c>
      <c r="N96">
        <v>98.2</v>
      </c>
      <c r="O96" s="2" t="s">
        <v>27</v>
      </c>
      <c r="P96">
        <v>95789</v>
      </c>
      <c r="Q96">
        <v>0</v>
      </c>
      <c r="R96" s="97"/>
      <c r="S96" s="2"/>
    </row>
    <row r="97" spans="1:19" x14ac:dyDescent="0.25">
      <c r="A97" s="96" t="str">
        <f t="shared" si="1"/>
        <v>New South WalesIn-training441661st revision</v>
      </c>
      <c r="B97" s="3">
        <v>96</v>
      </c>
      <c r="C97" s="2" t="s">
        <v>3</v>
      </c>
      <c r="D97" s="2" t="s">
        <v>80</v>
      </c>
      <c r="E97">
        <v>2021.2</v>
      </c>
      <c r="F97">
        <v>108</v>
      </c>
      <c r="G97" s="70">
        <v>44166</v>
      </c>
      <c r="H97">
        <v>95459</v>
      </c>
      <c r="I97">
        <v>0</v>
      </c>
      <c r="J97" s="2" t="s">
        <v>0</v>
      </c>
      <c r="K97">
        <v>94707</v>
      </c>
      <c r="L97">
        <v>96211</v>
      </c>
      <c r="M97">
        <v>95559</v>
      </c>
      <c r="N97">
        <v>99.9</v>
      </c>
      <c r="O97" s="2" t="s">
        <v>27</v>
      </c>
      <c r="P97">
        <v>96791</v>
      </c>
      <c r="Q97">
        <v>0</v>
      </c>
      <c r="R97" s="97"/>
      <c r="S97" s="2"/>
    </row>
    <row r="98" spans="1:19" x14ac:dyDescent="0.25">
      <c r="A98" s="96" t="str">
        <f t="shared" si="1"/>
        <v>Northern TerritoryCancellations/withdrawals43891Initial</v>
      </c>
      <c r="B98" s="3">
        <v>97</v>
      </c>
      <c r="C98" s="2" t="s">
        <v>4</v>
      </c>
      <c r="D98" s="2" t="s">
        <v>77</v>
      </c>
      <c r="E98">
        <v>2020.3</v>
      </c>
      <c r="F98">
        <v>104</v>
      </c>
      <c r="G98" s="70">
        <v>43891</v>
      </c>
      <c r="H98">
        <v>216</v>
      </c>
      <c r="I98">
        <v>0</v>
      </c>
      <c r="J98" s="2" t="s">
        <v>31</v>
      </c>
      <c r="K98">
        <v>172</v>
      </c>
      <c r="L98">
        <v>260</v>
      </c>
      <c r="M98">
        <v>292</v>
      </c>
      <c r="N98">
        <v>74</v>
      </c>
      <c r="O98" s="2" t="s">
        <v>27</v>
      </c>
      <c r="P98">
        <v>183</v>
      </c>
      <c r="Q98">
        <v>0</v>
      </c>
      <c r="R98" s="97"/>
      <c r="S98" s="2"/>
    </row>
    <row r="99" spans="1:19" x14ac:dyDescent="0.25">
      <c r="A99" s="96" t="str">
        <f t="shared" si="1"/>
        <v>Northern TerritoryCancellations/withdrawals438911st revision</v>
      </c>
      <c r="B99" s="3">
        <v>98</v>
      </c>
      <c r="C99" s="2" t="s">
        <v>4</v>
      </c>
      <c r="D99" s="2" t="s">
        <v>77</v>
      </c>
      <c r="E99">
        <v>2020.3</v>
      </c>
      <c r="F99">
        <v>105</v>
      </c>
      <c r="G99" s="70">
        <v>43891</v>
      </c>
      <c r="H99">
        <v>259</v>
      </c>
      <c r="I99">
        <v>0</v>
      </c>
      <c r="J99" s="2" t="s">
        <v>0</v>
      </c>
      <c r="K99">
        <v>247</v>
      </c>
      <c r="L99">
        <v>271</v>
      </c>
      <c r="M99">
        <v>292</v>
      </c>
      <c r="N99">
        <v>88.7</v>
      </c>
      <c r="O99" s="2" t="s">
        <v>27</v>
      </c>
      <c r="P99">
        <v>246</v>
      </c>
      <c r="Q99">
        <v>0</v>
      </c>
      <c r="R99" s="97"/>
      <c r="S99" s="2"/>
    </row>
    <row r="100" spans="1:19" x14ac:dyDescent="0.25">
      <c r="A100" s="96" t="str">
        <f t="shared" si="1"/>
        <v>Northern TerritoryCancellations/withdrawals43983Initial</v>
      </c>
      <c r="B100" s="3">
        <v>99</v>
      </c>
      <c r="C100" s="2" t="s">
        <v>4</v>
      </c>
      <c r="D100" s="2" t="s">
        <v>77</v>
      </c>
      <c r="E100">
        <v>2020.4</v>
      </c>
      <c r="F100">
        <v>105</v>
      </c>
      <c r="G100" s="70">
        <v>43983</v>
      </c>
      <c r="H100">
        <v>202</v>
      </c>
      <c r="I100">
        <v>0</v>
      </c>
      <c r="J100" s="2" t="s">
        <v>31</v>
      </c>
      <c r="K100">
        <v>173</v>
      </c>
      <c r="L100">
        <v>231</v>
      </c>
      <c r="M100">
        <v>222</v>
      </c>
      <c r="N100">
        <v>91</v>
      </c>
      <c r="O100" s="2" t="s">
        <v>28</v>
      </c>
      <c r="P100">
        <v>174</v>
      </c>
      <c r="Q100">
        <v>0</v>
      </c>
      <c r="R100" s="97"/>
      <c r="S100" s="2"/>
    </row>
    <row r="101" spans="1:19" x14ac:dyDescent="0.25">
      <c r="A101" s="96" t="str">
        <f t="shared" si="1"/>
        <v>Northern TerritoryCancellations/withdrawals439831st revision</v>
      </c>
      <c r="B101" s="3">
        <v>100</v>
      </c>
      <c r="C101" s="2" t="s">
        <v>4</v>
      </c>
      <c r="D101" s="2" t="s">
        <v>77</v>
      </c>
      <c r="E101">
        <v>2020.4</v>
      </c>
      <c r="F101">
        <v>106</v>
      </c>
      <c r="G101" s="70">
        <v>43983</v>
      </c>
      <c r="H101">
        <v>209</v>
      </c>
      <c r="I101">
        <v>0</v>
      </c>
      <c r="J101" s="2" t="s">
        <v>0</v>
      </c>
      <c r="K101">
        <v>200</v>
      </c>
      <c r="L101">
        <v>218</v>
      </c>
      <c r="M101">
        <v>222</v>
      </c>
      <c r="N101">
        <v>94.1</v>
      </c>
      <c r="O101" s="2" t="s">
        <v>28</v>
      </c>
      <c r="P101">
        <v>199</v>
      </c>
      <c r="Q101">
        <v>0</v>
      </c>
      <c r="R101" s="97"/>
      <c r="S101" s="2"/>
    </row>
    <row r="102" spans="1:19" x14ac:dyDescent="0.25">
      <c r="A102" s="96" t="str">
        <f t="shared" si="1"/>
        <v>Northern TerritoryCancellations/withdrawals44075Initial</v>
      </c>
      <c r="B102" s="3">
        <v>101</v>
      </c>
      <c r="C102" s="2" t="s">
        <v>4</v>
      </c>
      <c r="D102" s="2" t="s">
        <v>77</v>
      </c>
      <c r="E102">
        <v>2021.1</v>
      </c>
      <c r="F102">
        <v>106</v>
      </c>
      <c r="G102" s="70">
        <v>44075</v>
      </c>
      <c r="H102">
        <v>203</v>
      </c>
      <c r="I102">
        <v>0</v>
      </c>
      <c r="J102" s="2" t="s">
        <v>31</v>
      </c>
      <c r="K102">
        <v>175</v>
      </c>
      <c r="L102">
        <v>231</v>
      </c>
      <c r="M102">
        <v>228</v>
      </c>
      <c r="N102">
        <v>89</v>
      </c>
      <c r="O102" s="2" t="s">
        <v>28</v>
      </c>
      <c r="P102">
        <v>176</v>
      </c>
      <c r="Q102">
        <v>0</v>
      </c>
      <c r="R102" s="97"/>
      <c r="S102" s="2"/>
    </row>
    <row r="103" spans="1:19" x14ac:dyDescent="0.25">
      <c r="A103" s="96" t="str">
        <f t="shared" si="1"/>
        <v>Northern TerritoryCancellations/withdrawals440751st revision</v>
      </c>
      <c r="B103" s="3">
        <v>102</v>
      </c>
      <c r="C103" s="2" t="s">
        <v>4</v>
      </c>
      <c r="D103" s="2" t="s">
        <v>77</v>
      </c>
      <c r="E103">
        <v>2021.1</v>
      </c>
      <c r="F103">
        <v>107</v>
      </c>
      <c r="G103" s="70">
        <v>44075</v>
      </c>
      <c r="H103">
        <v>212</v>
      </c>
      <c r="I103">
        <v>0</v>
      </c>
      <c r="J103" s="2" t="s">
        <v>0</v>
      </c>
      <c r="K103">
        <v>202</v>
      </c>
      <c r="L103">
        <v>222</v>
      </c>
      <c r="M103">
        <v>228</v>
      </c>
      <c r="N103">
        <v>93</v>
      </c>
      <c r="O103" s="2" t="s">
        <v>28</v>
      </c>
      <c r="P103">
        <v>202</v>
      </c>
      <c r="Q103">
        <v>0</v>
      </c>
      <c r="R103" s="97"/>
      <c r="S103" s="2"/>
    </row>
    <row r="104" spans="1:19" x14ac:dyDescent="0.25">
      <c r="A104" s="96" t="str">
        <f t="shared" si="1"/>
        <v>Northern TerritoryCancellations/withdrawals44166Initial</v>
      </c>
      <c r="B104" s="3">
        <v>103</v>
      </c>
      <c r="C104" s="2" t="s">
        <v>4</v>
      </c>
      <c r="D104" s="2" t="s">
        <v>77</v>
      </c>
      <c r="E104">
        <v>2021.2</v>
      </c>
      <c r="F104">
        <v>107</v>
      </c>
      <c r="G104" s="70">
        <v>44166</v>
      </c>
      <c r="H104">
        <v>213</v>
      </c>
      <c r="I104">
        <v>0</v>
      </c>
      <c r="J104" s="2" t="s">
        <v>31</v>
      </c>
      <c r="K104">
        <v>184</v>
      </c>
      <c r="L104">
        <v>242</v>
      </c>
      <c r="M104">
        <v>259</v>
      </c>
      <c r="N104">
        <v>82.2</v>
      </c>
      <c r="O104" s="2" t="s">
        <v>27</v>
      </c>
      <c r="P104">
        <v>184</v>
      </c>
      <c r="Q104">
        <v>0</v>
      </c>
      <c r="R104" s="97"/>
      <c r="S104" s="2"/>
    </row>
    <row r="105" spans="1:19" x14ac:dyDescent="0.25">
      <c r="A105" s="96" t="str">
        <f t="shared" si="1"/>
        <v>Northern TerritoryCancellations/withdrawals441661st revision</v>
      </c>
      <c r="B105" s="3">
        <v>104</v>
      </c>
      <c r="C105" s="2" t="s">
        <v>4</v>
      </c>
      <c r="D105" s="2" t="s">
        <v>77</v>
      </c>
      <c r="E105">
        <v>2021.2</v>
      </c>
      <c r="F105">
        <v>108</v>
      </c>
      <c r="G105" s="70">
        <v>44166</v>
      </c>
      <c r="H105">
        <v>234</v>
      </c>
      <c r="I105">
        <v>0</v>
      </c>
      <c r="J105" s="2" t="s">
        <v>0</v>
      </c>
      <c r="K105">
        <v>226</v>
      </c>
      <c r="L105">
        <v>242</v>
      </c>
      <c r="M105">
        <v>259</v>
      </c>
      <c r="N105">
        <v>90.3</v>
      </c>
      <c r="O105" s="2" t="s">
        <v>27</v>
      </c>
      <c r="P105">
        <v>222</v>
      </c>
      <c r="Q105">
        <v>0</v>
      </c>
      <c r="R105" s="97"/>
      <c r="S105" s="2"/>
    </row>
    <row r="106" spans="1:19" x14ac:dyDescent="0.25">
      <c r="A106" s="96" t="str">
        <f t="shared" si="1"/>
        <v>Northern TerritoryCommencements44256Initial</v>
      </c>
      <c r="B106" s="3">
        <v>105</v>
      </c>
      <c r="C106" s="2" t="s">
        <v>4</v>
      </c>
      <c r="D106" s="2" t="s">
        <v>78</v>
      </c>
      <c r="E106">
        <v>2021.3</v>
      </c>
      <c r="F106">
        <v>108</v>
      </c>
      <c r="G106" s="70">
        <v>44256</v>
      </c>
      <c r="H106">
        <v>937</v>
      </c>
      <c r="I106">
        <v>0</v>
      </c>
      <c r="J106" s="2" t="s">
        <v>31</v>
      </c>
      <c r="K106">
        <v>905</v>
      </c>
      <c r="L106">
        <v>969</v>
      </c>
      <c r="M106">
        <v>953</v>
      </c>
      <c r="N106">
        <v>98.3</v>
      </c>
      <c r="O106" s="2" t="s">
        <v>28</v>
      </c>
      <c r="P106">
        <v>919</v>
      </c>
      <c r="Q106">
        <v>0</v>
      </c>
      <c r="R106" s="97"/>
      <c r="S106" s="2"/>
    </row>
    <row r="107" spans="1:19" x14ac:dyDescent="0.25">
      <c r="A107" s="96" t="str">
        <f t="shared" si="1"/>
        <v>Northern TerritoryCommencements442561st revision</v>
      </c>
      <c r="B107" s="3">
        <v>106</v>
      </c>
      <c r="C107" s="2" t="s">
        <v>4</v>
      </c>
      <c r="D107" s="2" t="s">
        <v>78</v>
      </c>
      <c r="E107">
        <v>2021.3</v>
      </c>
      <c r="F107">
        <v>109</v>
      </c>
      <c r="G107" s="70">
        <v>44256</v>
      </c>
      <c r="H107">
        <v>950</v>
      </c>
      <c r="I107">
        <v>0</v>
      </c>
      <c r="J107" s="2" t="s">
        <v>0</v>
      </c>
      <c r="K107">
        <v>946</v>
      </c>
      <c r="L107">
        <v>954</v>
      </c>
      <c r="M107">
        <v>953</v>
      </c>
      <c r="N107">
        <v>99.7</v>
      </c>
      <c r="O107" s="2" t="s">
        <v>28</v>
      </c>
      <c r="P107">
        <v>949</v>
      </c>
      <c r="Q107">
        <v>0</v>
      </c>
      <c r="R107" s="97"/>
      <c r="S107" s="2"/>
    </row>
    <row r="108" spans="1:19" x14ac:dyDescent="0.25">
      <c r="A108" s="96" t="str">
        <f t="shared" si="1"/>
        <v>Northern TerritoryCommencements44348Initial</v>
      </c>
      <c r="B108" s="3">
        <v>107</v>
      </c>
      <c r="C108" s="2" t="s">
        <v>4</v>
      </c>
      <c r="D108" s="2" t="s">
        <v>78</v>
      </c>
      <c r="E108">
        <v>2021.4</v>
      </c>
      <c r="F108">
        <v>109</v>
      </c>
      <c r="G108" s="70">
        <v>44348</v>
      </c>
      <c r="H108">
        <v>509</v>
      </c>
      <c r="I108">
        <v>0</v>
      </c>
      <c r="J108" s="2" t="s">
        <v>31</v>
      </c>
      <c r="K108">
        <v>492</v>
      </c>
      <c r="L108">
        <v>526</v>
      </c>
      <c r="M108">
        <v>505</v>
      </c>
      <c r="N108">
        <v>100.8</v>
      </c>
      <c r="O108" s="2" t="s">
        <v>28</v>
      </c>
      <c r="P108">
        <v>499</v>
      </c>
      <c r="Q108">
        <v>0</v>
      </c>
      <c r="R108" s="97"/>
      <c r="S108" s="2"/>
    </row>
    <row r="109" spans="1:19" x14ac:dyDescent="0.25">
      <c r="A109" s="96" t="str">
        <f t="shared" si="1"/>
        <v>Northern TerritoryCommencements443481st revision</v>
      </c>
      <c r="B109" s="3">
        <v>108</v>
      </c>
      <c r="C109" s="2" t="s">
        <v>4</v>
      </c>
      <c r="D109" s="2" t="s">
        <v>78</v>
      </c>
      <c r="E109">
        <v>2021.4</v>
      </c>
      <c r="F109">
        <v>110</v>
      </c>
      <c r="G109" s="70">
        <v>44348</v>
      </c>
      <c r="H109">
        <v>505</v>
      </c>
      <c r="I109">
        <v>0</v>
      </c>
      <c r="J109" s="2" t="s">
        <v>0</v>
      </c>
      <c r="K109">
        <v>503</v>
      </c>
      <c r="L109">
        <v>507</v>
      </c>
      <c r="M109">
        <v>505</v>
      </c>
      <c r="N109">
        <v>100</v>
      </c>
      <c r="O109" s="2" t="s">
        <v>28</v>
      </c>
      <c r="P109">
        <v>504</v>
      </c>
      <c r="Q109">
        <v>0</v>
      </c>
      <c r="R109" s="97"/>
      <c r="S109" s="2"/>
    </row>
    <row r="110" spans="1:19" x14ac:dyDescent="0.25">
      <c r="A110" s="96" t="str">
        <f t="shared" si="1"/>
        <v>Northern TerritoryCommencements44440Initial</v>
      </c>
      <c r="B110" s="3">
        <v>109</v>
      </c>
      <c r="C110" s="2" t="s">
        <v>4</v>
      </c>
      <c r="D110" s="2" t="s">
        <v>78</v>
      </c>
      <c r="E110">
        <v>2022.1</v>
      </c>
      <c r="F110">
        <v>110</v>
      </c>
      <c r="G110" s="70">
        <v>44440</v>
      </c>
      <c r="H110">
        <v>395</v>
      </c>
      <c r="I110">
        <v>0</v>
      </c>
      <c r="J110" s="2" t="s">
        <v>31</v>
      </c>
      <c r="K110">
        <v>381</v>
      </c>
      <c r="L110">
        <v>409</v>
      </c>
      <c r="M110">
        <v>388</v>
      </c>
      <c r="N110">
        <v>101.8</v>
      </c>
      <c r="O110" s="2" t="s">
        <v>28</v>
      </c>
      <c r="P110">
        <v>388</v>
      </c>
      <c r="Q110">
        <v>0</v>
      </c>
      <c r="R110" s="97"/>
      <c r="S110" s="2"/>
    </row>
    <row r="111" spans="1:19" x14ac:dyDescent="0.25">
      <c r="A111" s="96" t="str">
        <f t="shared" si="1"/>
        <v>Northern TerritoryCommencements444401st revision</v>
      </c>
      <c r="B111" s="3">
        <v>110</v>
      </c>
      <c r="C111" s="2" t="s">
        <v>4</v>
      </c>
      <c r="D111" s="2" t="s">
        <v>78</v>
      </c>
      <c r="E111">
        <v>2022.1</v>
      </c>
      <c r="F111">
        <v>111</v>
      </c>
      <c r="G111" s="70">
        <v>44440</v>
      </c>
      <c r="H111">
        <v>388</v>
      </c>
      <c r="I111">
        <v>0</v>
      </c>
      <c r="J111" s="2" t="s">
        <v>0</v>
      </c>
      <c r="K111">
        <v>387</v>
      </c>
      <c r="L111">
        <v>389</v>
      </c>
      <c r="M111">
        <v>388</v>
      </c>
      <c r="N111">
        <v>100</v>
      </c>
      <c r="O111" s="2" t="s">
        <v>28</v>
      </c>
      <c r="P111">
        <v>387</v>
      </c>
      <c r="Q111">
        <v>0</v>
      </c>
      <c r="R111" s="97"/>
      <c r="S111" s="2"/>
    </row>
    <row r="112" spans="1:19" x14ac:dyDescent="0.25">
      <c r="A112" s="96" t="str">
        <f t="shared" si="1"/>
        <v>Northern TerritoryCommencements44531Initial</v>
      </c>
      <c r="B112" s="3">
        <v>111</v>
      </c>
      <c r="C112" s="2" t="s">
        <v>4</v>
      </c>
      <c r="D112" s="2" t="s">
        <v>78</v>
      </c>
      <c r="E112">
        <v>2022.2</v>
      </c>
      <c r="F112">
        <v>111</v>
      </c>
      <c r="G112" s="70">
        <v>44531</v>
      </c>
      <c r="H112">
        <v>436</v>
      </c>
      <c r="I112">
        <v>0</v>
      </c>
      <c r="J112" s="2" t="s">
        <v>31</v>
      </c>
      <c r="K112">
        <v>422</v>
      </c>
      <c r="L112">
        <v>450</v>
      </c>
      <c r="M112">
        <v>432</v>
      </c>
      <c r="N112">
        <v>100.9</v>
      </c>
      <c r="O112" s="2" t="s">
        <v>28</v>
      </c>
      <c r="P112">
        <v>427</v>
      </c>
      <c r="Q112">
        <v>0</v>
      </c>
      <c r="R112" s="97"/>
      <c r="S112" s="2"/>
    </row>
    <row r="113" spans="1:19" x14ac:dyDescent="0.25">
      <c r="A113" s="96" t="str">
        <f t="shared" si="1"/>
        <v>Northern TerritoryCommencements445311st revision</v>
      </c>
      <c r="B113" s="3">
        <v>112</v>
      </c>
      <c r="C113" s="2" t="s">
        <v>4</v>
      </c>
      <c r="D113" s="2" t="s">
        <v>78</v>
      </c>
      <c r="E113">
        <v>2022.2</v>
      </c>
      <c r="F113">
        <v>112</v>
      </c>
      <c r="G113" s="70">
        <v>44531</v>
      </c>
      <c r="H113">
        <v>432</v>
      </c>
      <c r="I113">
        <v>0</v>
      </c>
      <c r="J113" s="2" t="s">
        <v>0</v>
      </c>
      <c r="K113">
        <v>430</v>
      </c>
      <c r="L113">
        <v>434</v>
      </c>
      <c r="M113">
        <v>432</v>
      </c>
      <c r="N113">
        <v>100</v>
      </c>
      <c r="O113" s="2" t="s">
        <v>28</v>
      </c>
      <c r="P113">
        <v>431</v>
      </c>
      <c r="Q113">
        <v>0</v>
      </c>
      <c r="R113" s="97"/>
      <c r="S113" s="2"/>
    </row>
    <row r="114" spans="1:19" x14ac:dyDescent="0.25">
      <c r="A114" s="96" t="str">
        <f t="shared" si="1"/>
        <v>Northern TerritoryCompletions44256Initial</v>
      </c>
      <c r="B114" s="3">
        <v>113</v>
      </c>
      <c r="C114" s="2" t="s">
        <v>4</v>
      </c>
      <c r="D114" s="2" t="s">
        <v>79</v>
      </c>
      <c r="E114">
        <v>2021.3</v>
      </c>
      <c r="F114">
        <v>108</v>
      </c>
      <c r="G114" s="70">
        <v>44256</v>
      </c>
      <c r="H114">
        <v>222</v>
      </c>
      <c r="I114">
        <v>0</v>
      </c>
      <c r="J114" s="2" t="s">
        <v>31</v>
      </c>
      <c r="K114">
        <v>210</v>
      </c>
      <c r="L114">
        <v>234</v>
      </c>
      <c r="M114">
        <v>227</v>
      </c>
      <c r="N114">
        <v>97.8</v>
      </c>
      <c r="O114" s="2" t="s">
        <v>28</v>
      </c>
      <c r="P114">
        <v>207</v>
      </c>
      <c r="Q114">
        <v>0</v>
      </c>
      <c r="R114" s="97"/>
      <c r="S114" s="2"/>
    </row>
    <row r="115" spans="1:19" x14ac:dyDescent="0.25">
      <c r="A115" s="96" t="str">
        <f t="shared" si="1"/>
        <v>Northern TerritoryCompletions442561st revision</v>
      </c>
      <c r="B115" s="3">
        <v>114</v>
      </c>
      <c r="C115" s="2" t="s">
        <v>4</v>
      </c>
      <c r="D115" s="2" t="s">
        <v>79</v>
      </c>
      <c r="E115">
        <v>2021.3</v>
      </c>
      <c r="F115">
        <v>109</v>
      </c>
      <c r="G115" s="70">
        <v>44256</v>
      </c>
      <c r="H115">
        <v>233</v>
      </c>
      <c r="I115">
        <v>0</v>
      </c>
      <c r="J115" s="2" t="s">
        <v>0</v>
      </c>
      <c r="K115">
        <v>220</v>
      </c>
      <c r="L115">
        <v>246</v>
      </c>
      <c r="M115">
        <v>227</v>
      </c>
      <c r="N115">
        <v>102.6</v>
      </c>
      <c r="O115" s="2" t="s">
        <v>28</v>
      </c>
      <c r="P115">
        <v>225</v>
      </c>
      <c r="Q115">
        <v>0</v>
      </c>
      <c r="R115" s="97"/>
      <c r="S115" s="2"/>
    </row>
    <row r="116" spans="1:19" x14ac:dyDescent="0.25">
      <c r="A116" s="96" t="str">
        <f t="shared" si="1"/>
        <v>Northern TerritoryCompletions44348Initial</v>
      </c>
      <c r="B116" s="3">
        <v>115</v>
      </c>
      <c r="C116" s="2" t="s">
        <v>4</v>
      </c>
      <c r="D116" s="2" t="s">
        <v>79</v>
      </c>
      <c r="E116">
        <v>2021.4</v>
      </c>
      <c r="F116">
        <v>109</v>
      </c>
      <c r="G116" s="70">
        <v>44348</v>
      </c>
      <c r="H116">
        <v>260</v>
      </c>
      <c r="I116">
        <v>0</v>
      </c>
      <c r="J116" s="2" t="s">
        <v>31</v>
      </c>
      <c r="K116">
        <v>244</v>
      </c>
      <c r="L116">
        <v>276</v>
      </c>
      <c r="M116">
        <v>248</v>
      </c>
      <c r="N116">
        <v>104.8</v>
      </c>
      <c r="O116" s="2" t="s">
        <v>28</v>
      </c>
      <c r="P116">
        <v>243</v>
      </c>
      <c r="Q116">
        <v>0</v>
      </c>
      <c r="R116" s="97"/>
      <c r="S116" s="2"/>
    </row>
    <row r="117" spans="1:19" x14ac:dyDescent="0.25">
      <c r="A117" s="96" t="str">
        <f t="shared" si="1"/>
        <v>Northern TerritoryCompletions443481st revision</v>
      </c>
      <c r="B117" s="3">
        <v>116</v>
      </c>
      <c r="C117" s="2" t="s">
        <v>4</v>
      </c>
      <c r="D117" s="2" t="s">
        <v>79</v>
      </c>
      <c r="E117">
        <v>2021.4</v>
      </c>
      <c r="F117">
        <v>110</v>
      </c>
      <c r="G117" s="70">
        <v>44348</v>
      </c>
      <c r="H117">
        <v>254</v>
      </c>
      <c r="I117">
        <v>0</v>
      </c>
      <c r="J117" s="2" t="s">
        <v>0</v>
      </c>
      <c r="K117">
        <v>241</v>
      </c>
      <c r="L117">
        <v>267</v>
      </c>
      <c r="M117">
        <v>248</v>
      </c>
      <c r="N117">
        <v>102.4</v>
      </c>
      <c r="O117" s="2" t="s">
        <v>28</v>
      </c>
      <c r="P117">
        <v>245</v>
      </c>
      <c r="Q117">
        <v>0</v>
      </c>
      <c r="R117" s="97"/>
      <c r="S117" s="2"/>
    </row>
    <row r="118" spans="1:19" x14ac:dyDescent="0.25">
      <c r="A118" s="96" t="str">
        <f t="shared" si="1"/>
        <v>Northern TerritoryCompletions44440Initial</v>
      </c>
      <c r="B118" s="3">
        <v>117</v>
      </c>
      <c r="C118" s="2" t="s">
        <v>4</v>
      </c>
      <c r="D118" s="2" t="s">
        <v>79</v>
      </c>
      <c r="E118">
        <v>2022.1</v>
      </c>
      <c r="F118">
        <v>110</v>
      </c>
      <c r="G118" s="70">
        <v>44440</v>
      </c>
      <c r="H118">
        <v>233</v>
      </c>
      <c r="I118">
        <v>0</v>
      </c>
      <c r="J118" s="2" t="s">
        <v>31</v>
      </c>
      <c r="K118">
        <v>220</v>
      </c>
      <c r="L118">
        <v>246</v>
      </c>
      <c r="M118">
        <v>226</v>
      </c>
      <c r="N118">
        <v>103.1</v>
      </c>
      <c r="O118" s="2" t="s">
        <v>28</v>
      </c>
      <c r="P118">
        <v>218</v>
      </c>
      <c r="Q118">
        <v>0</v>
      </c>
      <c r="R118" s="97"/>
      <c r="S118" s="2"/>
    </row>
    <row r="119" spans="1:19" x14ac:dyDescent="0.25">
      <c r="A119" s="96" t="str">
        <f t="shared" si="1"/>
        <v>Northern TerritoryCompletions444401st revision</v>
      </c>
      <c r="B119" s="3">
        <v>118</v>
      </c>
      <c r="C119" s="2" t="s">
        <v>4</v>
      </c>
      <c r="D119" s="2" t="s">
        <v>79</v>
      </c>
      <c r="E119">
        <v>2022.1</v>
      </c>
      <c r="F119">
        <v>111</v>
      </c>
      <c r="G119" s="70">
        <v>44440</v>
      </c>
      <c r="H119">
        <v>229</v>
      </c>
      <c r="I119">
        <v>0</v>
      </c>
      <c r="J119" s="2" t="s">
        <v>0</v>
      </c>
      <c r="K119">
        <v>217</v>
      </c>
      <c r="L119">
        <v>241</v>
      </c>
      <c r="M119">
        <v>226</v>
      </c>
      <c r="N119">
        <v>101.3</v>
      </c>
      <c r="O119" s="2" t="s">
        <v>28</v>
      </c>
      <c r="P119">
        <v>222</v>
      </c>
      <c r="Q119">
        <v>0</v>
      </c>
      <c r="R119" s="97"/>
      <c r="S119" s="2"/>
    </row>
    <row r="120" spans="1:19" x14ac:dyDescent="0.25">
      <c r="A120" s="96" t="str">
        <f t="shared" si="1"/>
        <v>Northern TerritoryCompletions44531Initial</v>
      </c>
      <c r="B120" s="3">
        <v>119</v>
      </c>
      <c r="C120" s="2" t="s">
        <v>4</v>
      </c>
      <c r="D120" s="2" t="s">
        <v>79</v>
      </c>
      <c r="E120">
        <v>2022.2</v>
      </c>
      <c r="F120">
        <v>111</v>
      </c>
      <c r="G120" s="70">
        <v>44531</v>
      </c>
      <c r="H120">
        <v>440</v>
      </c>
      <c r="I120">
        <v>0</v>
      </c>
      <c r="J120" s="2" t="s">
        <v>31</v>
      </c>
      <c r="K120">
        <v>414</v>
      </c>
      <c r="L120">
        <v>466</v>
      </c>
      <c r="M120">
        <v>437</v>
      </c>
      <c r="N120">
        <v>100.7</v>
      </c>
      <c r="O120" s="2" t="s">
        <v>28</v>
      </c>
      <c r="P120">
        <v>414</v>
      </c>
      <c r="Q120">
        <v>0</v>
      </c>
      <c r="R120" s="97"/>
      <c r="S120" s="2"/>
    </row>
    <row r="121" spans="1:19" x14ac:dyDescent="0.25">
      <c r="A121" s="96" t="str">
        <f t="shared" si="1"/>
        <v>Northern TerritoryCompletions445311st revision</v>
      </c>
      <c r="B121" s="3">
        <v>120</v>
      </c>
      <c r="C121" s="2" t="s">
        <v>4</v>
      </c>
      <c r="D121" s="2" t="s">
        <v>79</v>
      </c>
      <c r="E121">
        <v>2022.2</v>
      </c>
      <c r="F121">
        <v>112</v>
      </c>
      <c r="G121" s="70">
        <v>44531</v>
      </c>
      <c r="H121">
        <v>427</v>
      </c>
      <c r="I121">
        <v>0</v>
      </c>
      <c r="J121" s="2" t="s">
        <v>0</v>
      </c>
      <c r="K121">
        <v>414</v>
      </c>
      <c r="L121">
        <v>440</v>
      </c>
      <c r="M121">
        <v>437</v>
      </c>
      <c r="N121">
        <v>97.7</v>
      </c>
      <c r="O121" s="2" t="s">
        <v>28</v>
      </c>
      <c r="P121">
        <v>418</v>
      </c>
      <c r="Q121">
        <v>0</v>
      </c>
      <c r="R121" s="97"/>
      <c r="S121" s="2"/>
    </row>
    <row r="122" spans="1:19" x14ac:dyDescent="0.25">
      <c r="A122" s="96" t="str">
        <f t="shared" si="1"/>
        <v>Northern TerritoryIn-training43891Initial</v>
      </c>
      <c r="B122" s="3">
        <v>121</v>
      </c>
      <c r="C122" s="2" t="s">
        <v>4</v>
      </c>
      <c r="D122" s="2" t="s">
        <v>80</v>
      </c>
      <c r="E122">
        <v>2020.3</v>
      </c>
      <c r="F122">
        <v>104</v>
      </c>
      <c r="G122" s="70">
        <v>43891</v>
      </c>
      <c r="H122">
        <v>3282</v>
      </c>
      <c r="I122">
        <v>0</v>
      </c>
      <c r="J122" s="2" t="s">
        <v>31</v>
      </c>
      <c r="K122">
        <v>3224</v>
      </c>
      <c r="L122">
        <v>3340</v>
      </c>
      <c r="M122">
        <v>3166</v>
      </c>
      <c r="N122">
        <v>103.7</v>
      </c>
      <c r="O122" s="2" t="s">
        <v>27</v>
      </c>
      <c r="P122">
        <v>3362</v>
      </c>
      <c r="Q122">
        <v>0</v>
      </c>
      <c r="R122" s="97"/>
      <c r="S122" s="2"/>
    </row>
    <row r="123" spans="1:19" x14ac:dyDescent="0.25">
      <c r="A123" s="96" t="str">
        <f t="shared" si="1"/>
        <v>Northern TerritoryIn-training438911st revision</v>
      </c>
      <c r="B123" s="3">
        <v>122</v>
      </c>
      <c r="C123" s="2" t="s">
        <v>4</v>
      </c>
      <c r="D123" s="2" t="s">
        <v>80</v>
      </c>
      <c r="E123">
        <v>2020.3</v>
      </c>
      <c r="F123">
        <v>105</v>
      </c>
      <c r="G123" s="70">
        <v>43891</v>
      </c>
      <c r="H123">
        <v>3218</v>
      </c>
      <c r="I123">
        <v>0</v>
      </c>
      <c r="J123" s="2" t="s">
        <v>0</v>
      </c>
      <c r="K123">
        <v>3194</v>
      </c>
      <c r="L123">
        <v>3242</v>
      </c>
      <c r="M123">
        <v>3166</v>
      </c>
      <c r="N123">
        <v>101.6</v>
      </c>
      <c r="O123" s="2" t="s">
        <v>27</v>
      </c>
      <c r="P123">
        <v>3257</v>
      </c>
      <c r="Q123">
        <v>0</v>
      </c>
      <c r="R123" s="97"/>
      <c r="S123" s="2"/>
    </row>
    <row r="124" spans="1:19" x14ac:dyDescent="0.25">
      <c r="A124" s="96" t="str">
        <f t="shared" si="1"/>
        <v>Northern TerritoryIn-training43983Initial</v>
      </c>
      <c r="B124" s="3">
        <v>123</v>
      </c>
      <c r="C124" s="2" t="s">
        <v>4</v>
      </c>
      <c r="D124" s="2" t="s">
        <v>80</v>
      </c>
      <c r="E124">
        <v>2020.4</v>
      </c>
      <c r="F124">
        <v>105</v>
      </c>
      <c r="G124" s="70">
        <v>43983</v>
      </c>
      <c r="H124">
        <v>3263</v>
      </c>
      <c r="I124">
        <v>0</v>
      </c>
      <c r="J124" s="2" t="s">
        <v>31</v>
      </c>
      <c r="K124">
        <v>3223</v>
      </c>
      <c r="L124">
        <v>3303</v>
      </c>
      <c r="M124">
        <v>3189</v>
      </c>
      <c r="N124">
        <v>102.3</v>
      </c>
      <c r="O124" s="2" t="s">
        <v>27</v>
      </c>
      <c r="P124">
        <v>3334</v>
      </c>
      <c r="Q124">
        <v>0</v>
      </c>
      <c r="R124" s="97"/>
      <c r="S124" s="2"/>
    </row>
    <row r="125" spans="1:19" x14ac:dyDescent="0.25">
      <c r="A125" s="96" t="str">
        <f t="shared" si="1"/>
        <v>Northern TerritoryIn-training439831st revision</v>
      </c>
      <c r="B125" s="3">
        <v>124</v>
      </c>
      <c r="C125" s="2" t="s">
        <v>4</v>
      </c>
      <c r="D125" s="2" t="s">
        <v>80</v>
      </c>
      <c r="E125">
        <v>2020.4</v>
      </c>
      <c r="F125">
        <v>106</v>
      </c>
      <c r="G125" s="70">
        <v>43983</v>
      </c>
      <c r="H125">
        <v>3242</v>
      </c>
      <c r="I125">
        <v>0</v>
      </c>
      <c r="J125" s="2" t="s">
        <v>0</v>
      </c>
      <c r="K125">
        <v>3223</v>
      </c>
      <c r="L125">
        <v>3261</v>
      </c>
      <c r="M125">
        <v>3189</v>
      </c>
      <c r="N125">
        <v>101.7</v>
      </c>
      <c r="O125" s="2" t="s">
        <v>27</v>
      </c>
      <c r="P125">
        <v>3267</v>
      </c>
      <c r="Q125">
        <v>0</v>
      </c>
      <c r="R125" s="97"/>
      <c r="S125" s="2"/>
    </row>
    <row r="126" spans="1:19" x14ac:dyDescent="0.25">
      <c r="A126" s="96" t="str">
        <f t="shared" si="1"/>
        <v>Northern TerritoryIn-training44075Initial</v>
      </c>
      <c r="B126" s="3">
        <v>125</v>
      </c>
      <c r="C126" s="2" t="s">
        <v>4</v>
      </c>
      <c r="D126" s="2" t="s">
        <v>80</v>
      </c>
      <c r="E126">
        <v>2021.1</v>
      </c>
      <c r="F126">
        <v>106</v>
      </c>
      <c r="G126" s="70">
        <v>44075</v>
      </c>
      <c r="H126">
        <v>3243</v>
      </c>
      <c r="I126">
        <v>0</v>
      </c>
      <c r="J126" s="2" t="s">
        <v>31</v>
      </c>
      <c r="K126">
        <v>3205</v>
      </c>
      <c r="L126">
        <v>3281</v>
      </c>
      <c r="M126">
        <v>3148</v>
      </c>
      <c r="N126">
        <v>103</v>
      </c>
      <c r="O126" s="2" t="s">
        <v>27</v>
      </c>
      <c r="P126">
        <v>3302</v>
      </c>
      <c r="Q126">
        <v>0</v>
      </c>
      <c r="R126" s="97"/>
      <c r="S126" s="2"/>
    </row>
    <row r="127" spans="1:19" x14ac:dyDescent="0.25">
      <c r="A127" s="96" t="str">
        <f t="shared" si="1"/>
        <v>Northern TerritoryIn-training440751st revision</v>
      </c>
      <c r="B127" s="3">
        <v>126</v>
      </c>
      <c r="C127" s="2" t="s">
        <v>4</v>
      </c>
      <c r="D127" s="2" t="s">
        <v>80</v>
      </c>
      <c r="E127">
        <v>2021.1</v>
      </c>
      <c r="F127">
        <v>107</v>
      </c>
      <c r="G127" s="70">
        <v>44075</v>
      </c>
      <c r="H127">
        <v>3199</v>
      </c>
      <c r="I127">
        <v>0</v>
      </c>
      <c r="J127" s="2" t="s">
        <v>0</v>
      </c>
      <c r="K127">
        <v>3181</v>
      </c>
      <c r="L127">
        <v>3217</v>
      </c>
      <c r="M127">
        <v>3148</v>
      </c>
      <c r="N127">
        <v>101.6</v>
      </c>
      <c r="O127" s="2" t="s">
        <v>27</v>
      </c>
      <c r="P127">
        <v>3225</v>
      </c>
      <c r="Q127">
        <v>0</v>
      </c>
      <c r="R127" s="97"/>
      <c r="S127" s="2"/>
    </row>
    <row r="128" spans="1:19" x14ac:dyDescent="0.25">
      <c r="A128" s="96" t="str">
        <f t="shared" si="1"/>
        <v>Northern TerritoryIn-training44166Initial</v>
      </c>
      <c r="B128" s="3">
        <v>127</v>
      </c>
      <c r="C128" s="2" t="s">
        <v>4</v>
      </c>
      <c r="D128" s="2" t="s">
        <v>80</v>
      </c>
      <c r="E128">
        <v>2021.2</v>
      </c>
      <c r="F128">
        <v>107</v>
      </c>
      <c r="G128" s="70">
        <v>44166</v>
      </c>
      <c r="H128">
        <v>3305</v>
      </c>
      <c r="I128">
        <v>0</v>
      </c>
      <c r="J128" s="2" t="s">
        <v>31</v>
      </c>
      <c r="K128">
        <v>3259</v>
      </c>
      <c r="L128">
        <v>3351</v>
      </c>
      <c r="M128">
        <v>3217</v>
      </c>
      <c r="N128">
        <v>102.7</v>
      </c>
      <c r="O128" s="2" t="s">
        <v>27</v>
      </c>
      <c r="P128">
        <v>3373</v>
      </c>
      <c r="Q128">
        <v>0</v>
      </c>
      <c r="R128" s="97"/>
      <c r="S128" s="2"/>
    </row>
    <row r="129" spans="1:19" x14ac:dyDescent="0.25">
      <c r="A129" s="96" t="str">
        <f t="shared" si="1"/>
        <v>Northern TerritoryIn-training441661st revision</v>
      </c>
      <c r="B129" s="3">
        <v>128</v>
      </c>
      <c r="C129" s="2" t="s">
        <v>4</v>
      </c>
      <c r="D129" s="2" t="s">
        <v>80</v>
      </c>
      <c r="E129">
        <v>2021.2</v>
      </c>
      <c r="F129">
        <v>108</v>
      </c>
      <c r="G129" s="70">
        <v>44166</v>
      </c>
      <c r="H129">
        <v>3276</v>
      </c>
      <c r="I129">
        <v>0</v>
      </c>
      <c r="J129" s="2" t="s">
        <v>0</v>
      </c>
      <c r="K129">
        <v>3253</v>
      </c>
      <c r="L129">
        <v>3299</v>
      </c>
      <c r="M129">
        <v>3217</v>
      </c>
      <c r="N129">
        <v>101.8</v>
      </c>
      <c r="O129" s="2" t="s">
        <v>27</v>
      </c>
      <c r="P129">
        <v>3314</v>
      </c>
      <c r="Q129">
        <v>0</v>
      </c>
      <c r="R129" s="97"/>
      <c r="S129" s="2"/>
    </row>
    <row r="130" spans="1:19" x14ac:dyDescent="0.25">
      <c r="A130" s="96" t="str">
        <f t="shared" ref="A130:A193" si="2">CONCATENATE(C130,D130,G130,J130)</f>
        <v>QueenslandCancellations/withdrawals43891Initial</v>
      </c>
      <c r="B130" s="3">
        <v>129</v>
      </c>
      <c r="C130" s="2" t="s">
        <v>5</v>
      </c>
      <c r="D130" s="2" t="s">
        <v>77</v>
      </c>
      <c r="E130">
        <v>2020.3</v>
      </c>
      <c r="F130">
        <v>104</v>
      </c>
      <c r="G130" s="70">
        <v>43891</v>
      </c>
      <c r="H130">
        <v>4938</v>
      </c>
      <c r="I130">
        <v>0</v>
      </c>
      <c r="J130" s="2" t="s">
        <v>31</v>
      </c>
      <c r="K130">
        <v>4571</v>
      </c>
      <c r="L130">
        <v>5305</v>
      </c>
      <c r="M130">
        <v>4848</v>
      </c>
      <c r="N130">
        <v>101.9</v>
      </c>
      <c r="O130" s="2" t="s">
        <v>28</v>
      </c>
      <c r="P130">
        <v>4133</v>
      </c>
      <c r="Q130">
        <v>0</v>
      </c>
      <c r="R130" s="97"/>
      <c r="S130" s="2"/>
    </row>
    <row r="131" spans="1:19" x14ac:dyDescent="0.25">
      <c r="A131" s="96" t="str">
        <f t="shared" si="2"/>
        <v>QueenslandCancellations/withdrawals438911st revision</v>
      </c>
      <c r="B131" s="3">
        <v>130</v>
      </c>
      <c r="C131" s="2" t="s">
        <v>5</v>
      </c>
      <c r="D131" s="2" t="s">
        <v>77</v>
      </c>
      <c r="E131">
        <v>2020.3</v>
      </c>
      <c r="F131">
        <v>105</v>
      </c>
      <c r="G131" s="70">
        <v>43891</v>
      </c>
      <c r="H131">
        <v>4956</v>
      </c>
      <c r="I131">
        <v>0</v>
      </c>
      <c r="J131" s="2" t="s">
        <v>0</v>
      </c>
      <c r="K131">
        <v>4764</v>
      </c>
      <c r="L131">
        <v>5148</v>
      </c>
      <c r="M131">
        <v>4848</v>
      </c>
      <c r="N131">
        <v>102.2</v>
      </c>
      <c r="O131" s="2" t="s">
        <v>28</v>
      </c>
      <c r="P131">
        <v>4582</v>
      </c>
      <c r="Q131">
        <v>0</v>
      </c>
      <c r="R131" s="97"/>
      <c r="S131" s="2"/>
    </row>
    <row r="132" spans="1:19" x14ac:dyDescent="0.25">
      <c r="A132" s="96" t="str">
        <f t="shared" si="2"/>
        <v>QueenslandCancellations/withdrawals43983Initial</v>
      </c>
      <c r="B132" s="3">
        <v>131</v>
      </c>
      <c r="C132" s="2" t="s">
        <v>5</v>
      </c>
      <c r="D132" s="2" t="s">
        <v>77</v>
      </c>
      <c r="E132">
        <v>2020.4</v>
      </c>
      <c r="F132">
        <v>105</v>
      </c>
      <c r="G132" s="70">
        <v>43983</v>
      </c>
      <c r="H132">
        <v>3903</v>
      </c>
      <c r="I132">
        <v>0</v>
      </c>
      <c r="J132" s="2" t="s">
        <v>31</v>
      </c>
      <c r="K132">
        <v>3598</v>
      </c>
      <c r="L132">
        <v>4208</v>
      </c>
      <c r="M132">
        <v>3636</v>
      </c>
      <c r="N132">
        <v>107.3</v>
      </c>
      <c r="O132" s="2" t="s">
        <v>28</v>
      </c>
      <c r="P132">
        <v>3293</v>
      </c>
      <c r="Q132">
        <v>0</v>
      </c>
      <c r="R132" s="97"/>
      <c r="S132" s="2"/>
    </row>
    <row r="133" spans="1:19" x14ac:dyDescent="0.25">
      <c r="A133" s="96" t="str">
        <f t="shared" si="2"/>
        <v>QueenslandCancellations/withdrawals439831st revision</v>
      </c>
      <c r="B133" s="3">
        <v>132</v>
      </c>
      <c r="C133" s="2" t="s">
        <v>5</v>
      </c>
      <c r="D133" s="2" t="s">
        <v>77</v>
      </c>
      <c r="E133">
        <v>2020.4</v>
      </c>
      <c r="F133">
        <v>106</v>
      </c>
      <c r="G133" s="70">
        <v>43983</v>
      </c>
      <c r="H133">
        <v>3750</v>
      </c>
      <c r="I133">
        <v>0</v>
      </c>
      <c r="J133" s="2" t="s">
        <v>0</v>
      </c>
      <c r="K133">
        <v>3610</v>
      </c>
      <c r="L133">
        <v>3890</v>
      </c>
      <c r="M133">
        <v>3636</v>
      </c>
      <c r="N133">
        <v>103.1</v>
      </c>
      <c r="O133" s="2" t="s">
        <v>28</v>
      </c>
      <c r="P133">
        <v>3473</v>
      </c>
      <c r="Q133">
        <v>0</v>
      </c>
      <c r="R133" s="97"/>
      <c r="S133" s="2"/>
    </row>
    <row r="134" spans="1:19" x14ac:dyDescent="0.25">
      <c r="A134" s="96" t="str">
        <f t="shared" si="2"/>
        <v>QueenslandCancellations/withdrawals44075Initial</v>
      </c>
      <c r="B134" s="3">
        <v>133</v>
      </c>
      <c r="C134" s="2" t="s">
        <v>5</v>
      </c>
      <c r="D134" s="2" t="s">
        <v>77</v>
      </c>
      <c r="E134">
        <v>2021.1</v>
      </c>
      <c r="F134">
        <v>106</v>
      </c>
      <c r="G134" s="70">
        <v>44075</v>
      </c>
      <c r="H134">
        <v>4171</v>
      </c>
      <c r="I134">
        <v>0</v>
      </c>
      <c r="J134" s="2" t="s">
        <v>31</v>
      </c>
      <c r="K134">
        <v>3848</v>
      </c>
      <c r="L134">
        <v>4494</v>
      </c>
      <c r="M134">
        <v>3945</v>
      </c>
      <c r="N134">
        <v>105.7</v>
      </c>
      <c r="O134" s="2" t="s">
        <v>28</v>
      </c>
      <c r="P134">
        <v>3516</v>
      </c>
      <c r="Q134">
        <v>0</v>
      </c>
      <c r="R134" s="97"/>
      <c r="S134" s="2"/>
    </row>
    <row r="135" spans="1:19" x14ac:dyDescent="0.25">
      <c r="A135" s="96" t="str">
        <f t="shared" si="2"/>
        <v>QueenslandCancellations/withdrawals440751st revision</v>
      </c>
      <c r="B135" s="3">
        <v>134</v>
      </c>
      <c r="C135" s="2" t="s">
        <v>5</v>
      </c>
      <c r="D135" s="2" t="s">
        <v>77</v>
      </c>
      <c r="E135">
        <v>2021.1</v>
      </c>
      <c r="F135">
        <v>107</v>
      </c>
      <c r="G135" s="70">
        <v>44075</v>
      </c>
      <c r="H135">
        <v>4031</v>
      </c>
      <c r="I135">
        <v>0</v>
      </c>
      <c r="J135" s="2" t="s">
        <v>0</v>
      </c>
      <c r="K135">
        <v>3937</v>
      </c>
      <c r="L135">
        <v>4125</v>
      </c>
      <c r="M135">
        <v>3945</v>
      </c>
      <c r="N135">
        <v>102.2</v>
      </c>
      <c r="O135" s="2" t="s">
        <v>28</v>
      </c>
      <c r="P135">
        <v>3751</v>
      </c>
      <c r="Q135">
        <v>0</v>
      </c>
      <c r="R135" s="97"/>
      <c r="S135" s="2"/>
    </row>
    <row r="136" spans="1:19" x14ac:dyDescent="0.25">
      <c r="A136" s="96" t="str">
        <f t="shared" si="2"/>
        <v>QueenslandCancellations/withdrawals44166Initial</v>
      </c>
      <c r="B136" s="3">
        <v>135</v>
      </c>
      <c r="C136" s="2" t="s">
        <v>5</v>
      </c>
      <c r="D136" s="2" t="s">
        <v>77</v>
      </c>
      <c r="E136">
        <v>2021.2</v>
      </c>
      <c r="F136">
        <v>107</v>
      </c>
      <c r="G136" s="70">
        <v>44166</v>
      </c>
      <c r="H136">
        <v>5054</v>
      </c>
      <c r="I136">
        <v>0</v>
      </c>
      <c r="J136" s="2" t="s">
        <v>31</v>
      </c>
      <c r="K136">
        <v>4815</v>
      </c>
      <c r="L136">
        <v>5293</v>
      </c>
      <c r="M136">
        <v>5018</v>
      </c>
      <c r="N136">
        <v>100.7</v>
      </c>
      <c r="O136" s="2" t="s">
        <v>28</v>
      </c>
      <c r="P136">
        <v>4298</v>
      </c>
      <c r="Q136">
        <v>0</v>
      </c>
      <c r="R136" s="97"/>
      <c r="S136" s="2"/>
    </row>
    <row r="137" spans="1:19" x14ac:dyDescent="0.25">
      <c r="A137" s="96" t="str">
        <f t="shared" si="2"/>
        <v>QueenslandCancellations/withdrawals441661st revision</v>
      </c>
      <c r="B137" s="3">
        <v>136</v>
      </c>
      <c r="C137" s="2" t="s">
        <v>5</v>
      </c>
      <c r="D137" s="2" t="s">
        <v>77</v>
      </c>
      <c r="E137">
        <v>2021.2</v>
      </c>
      <c r="F137">
        <v>108</v>
      </c>
      <c r="G137" s="70">
        <v>44166</v>
      </c>
      <c r="H137">
        <v>5047</v>
      </c>
      <c r="I137">
        <v>0</v>
      </c>
      <c r="J137" s="2" t="s">
        <v>0</v>
      </c>
      <c r="K137">
        <v>4917</v>
      </c>
      <c r="L137">
        <v>5177</v>
      </c>
      <c r="M137">
        <v>5018</v>
      </c>
      <c r="N137">
        <v>100.6</v>
      </c>
      <c r="O137" s="2" t="s">
        <v>28</v>
      </c>
      <c r="P137">
        <v>4708</v>
      </c>
      <c r="Q137">
        <v>0</v>
      </c>
      <c r="R137" s="97"/>
      <c r="S137" s="2"/>
    </row>
    <row r="138" spans="1:19" x14ac:dyDescent="0.25">
      <c r="A138" s="96" t="str">
        <f t="shared" si="2"/>
        <v>QueenslandCommencements44256Initial</v>
      </c>
      <c r="B138" s="3">
        <v>137</v>
      </c>
      <c r="C138" s="2" t="s">
        <v>5</v>
      </c>
      <c r="D138" s="2" t="s">
        <v>78</v>
      </c>
      <c r="E138">
        <v>2021.3</v>
      </c>
      <c r="F138">
        <v>108</v>
      </c>
      <c r="G138" s="70">
        <v>44256</v>
      </c>
      <c r="H138">
        <v>15018</v>
      </c>
      <c r="I138">
        <v>0</v>
      </c>
      <c r="J138" s="2" t="s">
        <v>31</v>
      </c>
      <c r="K138">
        <v>14787</v>
      </c>
      <c r="L138">
        <v>15249</v>
      </c>
      <c r="M138">
        <v>15587</v>
      </c>
      <c r="N138">
        <v>96.3</v>
      </c>
      <c r="O138" s="2" t="s">
        <v>27</v>
      </c>
      <c r="P138">
        <v>14581</v>
      </c>
      <c r="Q138">
        <v>0</v>
      </c>
      <c r="R138" s="97"/>
      <c r="S138" s="2"/>
    </row>
    <row r="139" spans="1:19" x14ac:dyDescent="0.25">
      <c r="A139" s="96" t="str">
        <f t="shared" si="2"/>
        <v>QueenslandCommencements442561st revision</v>
      </c>
      <c r="B139" s="3">
        <v>138</v>
      </c>
      <c r="C139" s="2" t="s">
        <v>5</v>
      </c>
      <c r="D139" s="2" t="s">
        <v>78</v>
      </c>
      <c r="E139">
        <v>2021.3</v>
      </c>
      <c r="F139">
        <v>109</v>
      </c>
      <c r="G139" s="70">
        <v>44256</v>
      </c>
      <c r="H139">
        <v>15552</v>
      </c>
      <c r="I139">
        <v>0</v>
      </c>
      <c r="J139" s="2" t="s">
        <v>0</v>
      </c>
      <c r="K139">
        <v>15477</v>
      </c>
      <c r="L139">
        <v>15627</v>
      </c>
      <c r="M139">
        <v>15587</v>
      </c>
      <c r="N139">
        <v>99.8</v>
      </c>
      <c r="O139" s="2" t="s">
        <v>27</v>
      </c>
      <c r="P139">
        <v>15473</v>
      </c>
      <c r="Q139">
        <v>0</v>
      </c>
      <c r="R139" s="97"/>
      <c r="S139" s="2"/>
    </row>
    <row r="140" spans="1:19" x14ac:dyDescent="0.25">
      <c r="A140" s="96" t="str">
        <f t="shared" si="2"/>
        <v>QueenslandCommencements44348Initial</v>
      </c>
      <c r="B140" s="3">
        <v>139</v>
      </c>
      <c r="C140" s="2" t="s">
        <v>5</v>
      </c>
      <c r="D140" s="2" t="s">
        <v>78</v>
      </c>
      <c r="E140">
        <v>2021.4</v>
      </c>
      <c r="F140">
        <v>109</v>
      </c>
      <c r="G140" s="70">
        <v>44348</v>
      </c>
      <c r="H140">
        <v>12784</v>
      </c>
      <c r="I140">
        <v>0</v>
      </c>
      <c r="J140" s="2" t="s">
        <v>31</v>
      </c>
      <c r="K140">
        <v>12413</v>
      </c>
      <c r="L140">
        <v>13155</v>
      </c>
      <c r="M140">
        <v>13183</v>
      </c>
      <c r="N140">
        <v>97</v>
      </c>
      <c r="O140" s="2" t="s">
        <v>27</v>
      </c>
      <c r="P140">
        <v>12363</v>
      </c>
      <c r="Q140">
        <v>0</v>
      </c>
      <c r="R140" s="97"/>
      <c r="S140" s="2"/>
    </row>
    <row r="141" spans="1:19" x14ac:dyDescent="0.25">
      <c r="A141" s="96" t="str">
        <f t="shared" si="2"/>
        <v>QueenslandCommencements443481st revision</v>
      </c>
      <c r="B141" s="3">
        <v>140</v>
      </c>
      <c r="C141" s="2" t="s">
        <v>5</v>
      </c>
      <c r="D141" s="2" t="s">
        <v>78</v>
      </c>
      <c r="E141">
        <v>2021.4</v>
      </c>
      <c r="F141">
        <v>110</v>
      </c>
      <c r="G141" s="70">
        <v>44348</v>
      </c>
      <c r="H141">
        <v>13144</v>
      </c>
      <c r="I141">
        <v>0</v>
      </c>
      <c r="J141" s="2" t="s">
        <v>0</v>
      </c>
      <c r="K141">
        <v>13080</v>
      </c>
      <c r="L141">
        <v>13208</v>
      </c>
      <c r="M141">
        <v>13183</v>
      </c>
      <c r="N141">
        <v>99.7</v>
      </c>
      <c r="O141" s="2" t="s">
        <v>27</v>
      </c>
      <c r="P141">
        <v>13079</v>
      </c>
      <c r="Q141">
        <v>0</v>
      </c>
      <c r="R141" s="97"/>
      <c r="S141" s="2"/>
    </row>
    <row r="142" spans="1:19" x14ac:dyDescent="0.25">
      <c r="A142" s="96" t="str">
        <f t="shared" si="2"/>
        <v>QueenslandCommencements44440Initial</v>
      </c>
      <c r="B142" s="3">
        <v>141</v>
      </c>
      <c r="C142" s="2" t="s">
        <v>5</v>
      </c>
      <c r="D142" s="2" t="s">
        <v>78</v>
      </c>
      <c r="E142">
        <v>2022.1</v>
      </c>
      <c r="F142">
        <v>110</v>
      </c>
      <c r="G142" s="70">
        <v>44440</v>
      </c>
      <c r="H142">
        <v>14426</v>
      </c>
      <c r="I142">
        <v>0</v>
      </c>
      <c r="J142" s="2" t="s">
        <v>31</v>
      </c>
      <c r="K142">
        <v>13969</v>
      </c>
      <c r="L142">
        <v>14883</v>
      </c>
      <c r="M142">
        <v>14932</v>
      </c>
      <c r="N142">
        <v>96.6</v>
      </c>
      <c r="O142" s="2" t="s">
        <v>27</v>
      </c>
      <c r="P142">
        <v>13968</v>
      </c>
      <c r="Q142">
        <v>0</v>
      </c>
      <c r="R142" s="97"/>
      <c r="S142" s="2"/>
    </row>
    <row r="143" spans="1:19" x14ac:dyDescent="0.25">
      <c r="A143" s="96" t="str">
        <f t="shared" si="2"/>
        <v>QueenslandCommencements444401st revision</v>
      </c>
      <c r="B143" s="3">
        <v>142</v>
      </c>
      <c r="C143" s="2" t="s">
        <v>5</v>
      </c>
      <c r="D143" s="2" t="s">
        <v>78</v>
      </c>
      <c r="E143">
        <v>2022.1</v>
      </c>
      <c r="F143">
        <v>111</v>
      </c>
      <c r="G143" s="70">
        <v>44440</v>
      </c>
      <c r="H143">
        <v>14808</v>
      </c>
      <c r="I143">
        <v>0</v>
      </c>
      <c r="J143" s="2" t="s">
        <v>0</v>
      </c>
      <c r="K143">
        <v>14734</v>
      </c>
      <c r="L143">
        <v>14882</v>
      </c>
      <c r="M143">
        <v>14932</v>
      </c>
      <c r="N143">
        <v>99.2</v>
      </c>
      <c r="O143" s="2" t="s">
        <v>27</v>
      </c>
      <c r="P143">
        <v>14731</v>
      </c>
      <c r="Q143">
        <v>0</v>
      </c>
      <c r="R143" s="97"/>
      <c r="S143" s="2"/>
    </row>
    <row r="144" spans="1:19" x14ac:dyDescent="0.25">
      <c r="A144" s="96" t="str">
        <f t="shared" si="2"/>
        <v>QueenslandCommencements44531Initial</v>
      </c>
      <c r="B144" s="3">
        <v>143</v>
      </c>
      <c r="C144" s="2" t="s">
        <v>5</v>
      </c>
      <c r="D144" s="2" t="s">
        <v>78</v>
      </c>
      <c r="E144">
        <v>2022.2</v>
      </c>
      <c r="F144">
        <v>111</v>
      </c>
      <c r="G144" s="70">
        <v>44531</v>
      </c>
      <c r="H144">
        <v>13081</v>
      </c>
      <c r="I144">
        <v>0</v>
      </c>
      <c r="J144" s="2" t="s">
        <v>31</v>
      </c>
      <c r="K144">
        <v>12614</v>
      </c>
      <c r="L144">
        <v>13548</v>
      </c>
      <c r="M144">
        <v>13817</v>
      </c>
      <c r="N144">
        <v>94.7</v>
      </c>
      <c r="O144" s="2" t="s">
        <v>27</v>
      </c>
      <c r="P144">
        <v>12638</v>
      </c>
      <c r="Q144">
        <v>0</v>
      </c>
      <c r="R144" s="97"/>
      <c r="S144" s="2"/>
    </row>
    <row r="145" spans="1:19" x14ac:dyDescent="0.25">
      <c r="A145" s="96" t="str">
        <f t="shared" si="2"/>
        <v>QueenslandCommencements445311st revision</v>
      </c>
      <c r="B145" s="3">
        <v>144</v>
      </c>
      <c r="C145" s="2" t="s">
        <v>5</v>
      </c>
      <c r="D145" s="2" t="s">
        <v>78</v>
      </c>
      <c r="E145">
        <v>2022.2</v>
      </c>
      <c r="F145">
        <v>112</v>
      </c>
      <c r="G145" s="70">
        <v>44531</v>
      </c>
      <c r="H145">
        <v>13684</v>
      </c>
      <c r="I145">
        <v>0</v>
      </c>
      <c r="J145" s="2" t="s">
        <v>0</v>
      </c>
      <c r="K145">
        <v>13619</v>
      </c>
      <c r="L145">
        <v>13749</v>
      </c>
      <c r="M145">
        <v>13817</v>
      </c>
      <c r="N145">
        <v>99</v>
      </c>
      <c r="O145" s="2" t="s">
        <v>27</v>
      </c>
      <c r="P145">
        <v>13606</v>
      </c>
      <c r="Q145">
        <v>0</v>
      </c>
      <c r="R145" s="97"/>
      <c r="S145" s="2"/>
    </row>
    <row r="146" spans="1:19" x14ac:dyDescent="0.25">
      <c r="A146" s="96" t="str">
        <f t="shared" si="2"/>
        <v>QueenslandCompletions44256Initial</v>
      </c>
      <c r="B146" s="3">
        <v>145</v>
      </c>
      <c r="C146" s="2" t="s">
        <v>5</v>
      </c>
      <c r="D146" s="2" t="s">
        <v>79</v>
      </c>
      <c r="E146">
        <v>2021.3</v>
      </c>
      <c r="F146">
        <v>108</v>
      </c>
      <c r="G146" s="70">
        <v>44256</v>
      </c>
      <c r="H146">
        <v>4639</v>
      </c>
      <c r="I146">
        <v>0</v>
      </c>
      <c r="J146" s="2" t="s">
        <v>31</v>
      </c>
      <c r="K146">
        <v>4539</v>
      </c>
      <c r="L146">
        <v>4739</v>
      </c>
      <c r="M146">
        <v>4621</v>
      </c>
      <c r="N146">
        <v>100.4</v>
      </c>
      <c r="O146" s="2" t="s">
        <v>28</v>
      </c>
      <c r="P146">
        <v>4395</v>
      </c>
      <c r="Q146">
        <v>0</v>
      </c>
      <c r="R146" s="97"/>
      <c r="S146" s="2"/>
    </row>
    <row r="147" spans="1:19" x14ac:dyDescent="0.25">
      <c r="A147" s="96" t="str">
        <f t="shared" si="2"/>
        <v>QueenslandCompletions442561st revision</v>
      </c>
      <c r="B147" s="3">
        <v>146</v>
      </c>
      <c r="C147" s="2" t="s">
        <v>5</v>
      </c>
      <c r="D147" s="2" t="s">
        <v>79</v>
      </c>
      <c r="E147">
        <v>2021.3</v>
      </c>
      <c r="F147">
        <v>109</v>
      </c>
      <c r="G147" s="70">
        <v>44256</v>
      </c>
      <c r="H147">
        <v>4656</v>
      </c>
      <c r="I147">
        <v>0</v>
      </c>
      <c r="J147" s="2" t="s">
        <v>0</v>
      </c>
      <c r="K147">
        <v>4625</v>
      </c>
      <c r="L147">
        <v>4687</v>
      </c>
      <c r="M147">
        <v>4621</v>
      </c>
      <c r="N147">
        <v>100.8</v>
      </c>
      <c r="O147" s="2" t="s">
        <v>28</v>
      </c>
      <c r="P147">
        <v>4567</v>
      </c>
      <c r="Q147">
        <v>0</v>
      </c>
      <c r="R147" s="97"/>
      <c r="S147" s="2"/>
    </row>
    <row r="148" spans="1:19" x14ac:dyDescent="0.25">
      <c r="A148" s="96" t="str">
        <f t="shared" si="2"/>
        <v>QueenslandCompletions44348Initial</v>
      </c>
      <c r="B148" s="3">
        <v>147</v>
      </c>
      <c r="C148" s="2" t="s">
        <v>5</v>
      </c>
      <c r="D148" s="2" t="s">
        <v>79</v>
      </c>
      <c r="E148">
        <v>2021.4</v>
      </c>
      <c r="F148">
        <v>109</v>
      </c>
      <c r="G148" s="70">
        <v>44348</v>
      </c>
      <c r="H148">
        <v>4546</v>
      </c>
      <c r="I148">
        <v>0</v>
      </c>
      <c r="J148" s="2" t="s">
        <v>31</v>
      </c>
      <c r="K148">
        <v>4444</v>
      </c>
      <c r="L148">
        <v>4648</v>
      </c>
      <c r="M148">
        <v>4471</v>
      </c>
      <c r="N148">
        <v>101.7</v>
      </c>
      <c r="O148" s="2" t="s">
        <v>28</v>
      </c>
      <c r="P148">
        <v>4318</v>
      </c>
      <c r="Q148">
        <v>0</v>
      </c>
      <c r="R148" s="97"/>
      <c r="S148" s="2"/>
    </row>
    <row r="149" spans="1:19" x14ac:dyDescent="0.25">
      <c r="A149" s="96" t="str">
        <f t="shared" si="2"/>
        <v>QueenslandCompletions443481st revision</v>
      </c>
      <c r="B149" s="3">
        <v>148</v>
      </c>
      <c r="C149" s="2" t="s">
        <v>5</v>
      </c>
      <c r="D149" s="2" t="s">
        <v>79</v>
      </c>
      <c r="E149">
        <v>2021.4</v>
      </c>
      <c r="F149">
        <v>110</v>
      </c>
      <c r="G149" s="70">
        <v>44348</v>
      </c>
      <c r="H149">
        <v>4506</v>
      </c>
      <c r="I149">
        <v>0</v>
      </c>
      <c r="J149" s="2" t="s">
        <v>0</v>
      </c>
      <c r="K149">
        <v>4478</v>
      </c>
      <c r="L149">
        <v>4534</v>
      </c>
      <c r="M149">
        <v>4471</v>
      </c>
      <c r="N149">
        <v>100.8</v>
      </c>
      <c r="O149" s="2" t="s">
        <v>28</v>
      </c>
      <c r="P149">
        <v>4422</v>
      </c>
      <c r="Q149">
        <v>0</v>
      </c>
      <c r="R149" s="97"/>
      <c r="S149" s="2"/>
    </row>
    <row r="150" spans="1:19" x14ac:dyDescent="0.25">
      <c r="A150" s="96" t="str">
        <f t="shared" si="2"/>
        <v>QueenslandCompletions44440Initial</v>
      </c>
      <c r="B150" s="3">
        <v>149</v>
      </c>
      <c r="C150" s="2" t="s">
        <v>5</v>
      </c>
      <c r="D150" s="2" t="s">
        <v>79</v>
      </c>
      <c r="E150">
        <v>2022.1</v>
      </c>
      <c r="F150">
        <v>110</v>
      </c>
      <c r="G150" s="70">
        <v>44440</v>
      </c>
      <c r="H150">
        <v>4895</v>
      </c>
      <c r="I150">
        <v>0</v>
      </c>
      <c r="J150" s="2" t="s">
        <v>31</v>
      </c>
      <c r="K150">
        <v>4806</v>
      </c>
      <c r="L150">
        <v>4984</v>
      </c>
      <c r="M150">
        <v>4909</v>
      </c>
      <c r="N150">
        <v>99.7</v>
      </c>
      <c r="O150" s="2" t="s">
        <v>28</v>
      </c>
      <c r="P150">
        <v>4659</v>
      </c>
      <c r="Q150">
        <v>0</v>
      </c>
      <c r="R150" s="97"/>
      <c r="S150" s="2"/>
    </row>
    <row r="151" spans="1:19" x14ac:dyDescent="0.25">
      <c r="A151" s="96" t="str">
        <f t="shared" si="2"/>
        <v>QueenslandCompletions444401st revision</v>
      </c>
      <c r="B151" s="3">
        <v>150</v>
      </c>
      <c r="C151" s="2" t="s">
        <v>5</v>
      </c>
      <c r="D151" s="2" t="s">
        <v>79</v>
      </c>
      <c r="E151">
        <v>2022.1</v>
      </c>
      <c r="F151">
        <v>111</v>
      </c>
      <c r="G151" s="70">
        <v>44440</v>
      </c>
      <c r="H151">
        <v>4925</v>
      </c>
      <c r="I151">
        <v>0</v>
      </c>
      <c r="J151" s="2" t="s">
        <v>0</v>
      </c>
      <c r="K151">
        <v>4895</v>
      </c>
      <c r="L151">
        <v>4955</v>
      </c>
      <c r="M151">
        <v>4909</v>
      </c>
      <c r="N151">
        <v>100.3</v>
      </c>
      <c r="O151" s="2" t="s">
        <v>28</v>
      </c>
      <c r="P151">
        <v>4836</v>
      </c>
      <c r="Q151">
        <v>0</v>
      </c>
      <c r="R151" s="97"/>
      <c r="S151" s="2"/>
    </row>
    <row r="152" spans="1:19" x14ac:dyDescent="0.25">
      <c r="A152" s="96" t="str">
        <f t="shared" si="2"/>
        <v>QueenslandCompletions44531Initial</v>
      </c>
      <c r="B152" s="3">
        <v>151</v>
      </c>
      <c r="C152" s="2" t="s">
        <v>5</v>
      </c>
      <c r="D152" s="2" t="s">
        <v>79</v>
      </c>
      <c r="E152">
        <v>2022.2</v>
      </c>
      <c r="F152">
        <v>111</v>
      </c>
      <c r="G152" s="70">
        <v>44531</v>
      </c>
      <c r="H152">
        <v>6651</v>
      </c>
      <c r="I152">
        <v>0</v>
      </c>
      <c r="J152" s="2" t="s">
        <v>31</v>
      </c>
      <c r="K152">
        <v>6528</v>
      </c>
      <c r="L152">
        <v>6774</v>
      </c>
      <c r="M152">
        <v>6670</v>
      </c>
      <c r="N152">
        <v>99.7</v>
      </c>
      <c r="O152" s="2" t="s">
        <v>28</v>
      </c>
      <c r="P152">
        <v>6336</v>
      </c>
      <c r="Q152">
        <v>0</v>
      </c>
      <c r="R152" s="97"/>
      <c r="S152" s="2"/>
    </row>
    <row r="153" spans="1:19" x14ac:dyDescent="0.25">
      <c r="A153" s="96" t="str">
        <f t="shared" si="2"/>
        <v>QueenslandCompletions445311st revision</v>
      </c>
      <c r="B153" s="3">
        <v>152</v>
      </c>
      <c r="C153" s="2" t="s">
        <v>5</v>
      </c>
      <c r="D153" s="2" t="s">
        <v>79</v>
      </c>
      <c r="E153">
        <v>2022.2</v>
      </c>
      <c r="F153">
        <v>112</v>
      </c>
      <c r="G153" s="70">
        <v>44531</v>
      </c>
      <c r="H153">
        <v>6660</v>
      </c>
      <c r="I153">
        <v>0</v>
      </c>
      <c r="J153" s="2" t="s">
        <v>0</v>
      </c>
      <c r="K153">
        <v>6630</v>
      </c>
      <c r="L153">
        <v>6690</v>
      </c>
      <c r="M153">
        <v>6670</v>
      </c>
      <c r="N153">
        <v>99.9</v>
      </c>
      <c r="O153" s="2" t="s">
        <v>28</v>
      </c>
      <c r="P153">
        <v>6544</v>
      </c>
      <c r="Q153">
        <v>0</v>
      </c>
      <c r="R153" s="97"/>
      <c r="S153" s="2"/>
    </row>
    <row r="154" spans="1:19" x14ac:dyDescent="0.25">
      <c r="A154" s="96" t="str">
        <f t="shared" si="2"/>
        <v>QueenslandIn-training43891Initial</v>
      </c>
      <c r="B154" s="3">
        <v>153</v>
      </c>
      <c r="C154" s="2" t="s">
        <v>5</v>
      </c>
      <c r="D154" s="2" t="s">
        <v>80</v>
      </c>
      <c r="E154">
        <v>2020.3</v>
      </c>
      <c r="F154">
        <v>104</v>
      </c>
      <c r="G154" s="70">
        <v>43891</v>
      </c>
      <c r="H154">
        <v>57381</v>
      </c>
      <c r="I154">
        <v>0</v>
      </c>
      <c r="J154" s="2" t="s">
        <v>31</v>
      </c>
      <c r="K154">
        <v>56840</v>
      </c>
      <c r="L154">
        <v>57922</v>
      </c>
      <c r="M154">
        <v>58705</v>
      </c>
      <c r="N154">
        <v>97.7</v>
      </c>
      <c r="O154" s="2" t="s">
        <v>27</v>
      </c>
      <c r="P154">
        <v>59687</v>
      </c>
      <c r="Q154">
        <v>0</v>
      </c>
      <c r="R154" s="97"/>
      <c r="S154" s="2"/>
    </row>
    <row r="155" spans="1:19" x14ac:dyDescent="0.25">
      <c r="A155" s="96" t="str">
        <f t="shared" si="2"/>
        <v>QueenslandIn-training438911st revision</v>
      </c>
      <c r="B155" s="3">
        <v>154</v>
      </c>
      <c r="C155" s="2" t="s">
        <v>5</v>
      </c>
      <c r="D155" s="2" t="s">
        <v>80</v>
      </c>
      <c r="E155">
        <v>2020.3</v>
      </c>
      <c r="F155">
        <v>105</v>
      </c>
      <c r="G155" s="70">
        <v>43891</v>
      </c>
      <c r="H155">
        <v>57798</v>
      </c>
      <c r="I155">
        <v>0</v>
      </c>
      <c r="J155" s="2" t="s">
        <v>0</v>
      </c>
      <c r="K155">
        <v>57423</v>
      </c>
      <c r="L155">
        <v>58173</v>
      </c>
      <c r="M155">
        <v>58705</v>
      </c>
      <c r="N155">
        <v>98.5</v>
      </c>
      <c r="O155" s="2" t="s">
        <v>27</v>
      </c>
      <c r="P155">
        <v>59324</v>
      </c>
      <c r="Q155">
        <v>0</v>
      </c>
      <c r="R155" s="97"/>
      <c r="S155" s="2"/>
    </row>
    <row r="156" spans="1:19" x14ac:dyDescent="0.25">
      <c r="A156" s="96" t="str">
        <f t="shared" si="2"/>
        <v>QueenslandIn-training43983Initial</v>
      </c>
      <c r="B156" s="3">
        <v>155</v>
      </c>
      <c r="C156" s="2" t="s">
        <v>5</v>
      </c>
      <c r="D156" s="2" t="s">
        <v>80</v>
      </c>
      <c r="E156">
        <v>2020.4</v>
      </c>
      <c r="F156">
        <v>105</v>
      </c>
      <c r="G156" s="70">
        <v>43983</v>
      </c>
      <c r="H156">
        <v>55502</v>
      </c>
      <c r="I156">
        <v>0</v>
      </c>
      <c r="J156" s="2" t="s">
        <v>31</v>
      </c>
      <c r="K156">
        <v>54999</v>
      </c>
      <c r="L156">
        <v>56005</v>
      </c>
      <c r="M156">
        <v>57037</v>
      </c>
      <c r="N156">
        <v>97.3</v>
      </c>
      <c r="O156" s="2" t="s">
        <v>27</v>
      </c>
      <c r="P156">
        <v>57619</v>
      </c>
      <c r="Q156">
        <v>0</v>
      </c>
      <c r="R156" s="97"/>
      <c r="S156" s="2"/>
    </row>
    <row r="157" spans="1:19" x14ac:dyDescent="0.25">
      <c r="A157" s="96" t="str">
        <f t="shared" si="2"/>
        <v>QueenslandIn-training439831st revision</v>
      </c>
      <c r="B157" s="3">
        <v>156</v>
      </c>
      <c r="C157" s="2" t="s">
        <v>5</v>
      </c>
      <c r="D157" s="2" t="s">
        <v>80</v>
      </c>
      <c r="E157">
        <v>2020.4</v>
      </c>
      <c r="F157">
        <v>106</v>
      </c>
      <c r="G157" s="70">
        <v>43983</v>
      </c>
      <c r="H157">
        <v>56194</v>
      </c>
      <c r="I157">
        <v>0</v>
      </c>
      <c r="J157" s="2" t="s">
        <v>0</v>
      </c>
      <c r="K157">
        <v>55805</v>
      </c>
      <c r="L157">
        <v>56583</v>
      </c>
      <c r="M157">
        <v>57037</v>
      </c>
      <c r="N157">
        <v>98.5</v>
      </c>
      <c r="O157" s="2" t="s">
        <v>27</v>
      </c>
      <c r="P157">
        <v>57505</v>
      </c>
      <c r="Q157">
        <v>0</v>
      </c>
      <c r="R157" s="97"/>
      <c r="S157" s="2"/>
    </row>
    <row r="158" spans="1:19" x14ac:dyDescent="0.25">
      <c r="A158" s="96" t="str">
        <f t="shared" si="2"/>
        <v>QueenslandIn-training44075Initial</v>
      </c>
      <c r="B158" s="3">
        <v>157</v>
      </c>
      <c r="C158" s="2" t="s">
        <v>5</v>
      </c>
      <c r="D158" s="2" t="s">
        <v>80</v>
      </c>
      <c r="E158">
        <v>2021.1</v>
      </c>
      <c r="F158">
        <v>106</v>
      </c>
      <c r="G158" s="70">
        <v>44075</v>
      </c>
      <c r="H158">
        <v>55601</v>
      </c>
      <c r="I158">
        <v>0</v>
      </c>
      <c r="J158" s="2" t="s">
        <v>31</v>
      </c>
      <c r="K158">
        <v>55066</v>
      </c>
      <c r="L158">
        <v>56136</v>
      </c>
      <c r="M158">
        <v>56722</v>
      </c>
      <c r="N158">
        <v>98</v>
      </c>
      <c r="O158" s="2" t="s">
        <v>27</v>
      </c>
      <c r="P158">
        <v>57443</v>
      </c>
      <c r="Q158">
        <v>0</v>
      </c>
      <c r="R158" s="97"/>
      <c r="S158" s="2"/>
    </row>
    <row r="159" spans="1:19" x14ac:dyDescent="0.25">
      <c r="A159" s="96" t="str">
        <f t="shared" si="2"/>
        <v>QueenslandIn-training440751st revision</v>
      </c>
      <c r="B159" s="3">
        <v>158</v>
      </c>
      <c r="C159" s="2" t="s">
        <v>5</v>
      </c>
      <c r="D159" s="2" t="s">
        <v>80</v>
      </c>
      <c r="E159">
        <v>2021.1</v>
      </c>
      <c r="F159">
        <v>107</v>
      </c>
      <c r="G159" s="70">
        <v>44075</v>
      </c>
      <c r="H159">
        <v>56166</v>
      </c>
      <c r="I159">
        <v>0</v>
      </c>
      <c r="J159" s="2" t="s">
        <v>0</v>
      </c>
      <c r="K159">
        <v>55813</v>
      </c>
      <c r="L159">
        <v>56519</v>
      </c>
      <c r="M159">
        <v>56722</v>
      </c>
      <c r="N159">
        <v>99</v>
      </c>
      <c r="O159" s="2" t="s">
        <v>27</v>
      </c>
      <c r="P159">
        <v>57145</v>
      </c>
      <c r="Q159">
        <v>0</v>
      </c>
      <c r="R159" s="97"/>
      <c r="S159" s="2"/>
    </row>
    <row r="160" spans="1:19" x14ac:dyDescent="0.25">
      <c r="A160" s="96" t="str">
        <f t="shared" si="2"/>
        <v>QueenslandIn-training44166Initial</v>
      </c>
      <c r="B160" s="3">
        <v>159</v>
      </c>
      <c r="C160" s="2" t="s">
        <v>5</v>
      </c>
      <c r="D160" s="2" t="s">
        <v>80</v>
      </c>
      <c r="E160">
        <v>2021.2</v>
      </c>
      <c r="F160">
        <v>107</v>
      </c>
      <c r="G160" s="70">
        <v>44166</v>
      </c>
      <c r="H160">
        <v>63627</v>
      </c>
      <c r="I160">
        <v>0</v>
      </c>
      <c r="J160" s="2" t="s">
        <v>31</v>
      </c>
      <c r="K160">
        <v>63122</v>
      </c>
      <c r="L160">
        <v>64132</v>
      </c>
      <c r="M160">
        <v>64784</v>
      </c>
      <c r="N160">
        <v>98.2</v>
      </c>
      <c r="O160" s="2" t="s">
        <v>27</v>
      </c>
      <c r="P160">
        <v>65023</v>
      </c>
      <c r="Q160">
        <v>0</v>
      </c>
      <c r="R160" s="97"/>
      <c r="S160" s="2"/>
    </row>
    <row r="161" spans="1:19" x14ac:dyDescent="0.25">
      <c r="A161" s="96" t="str">
        <f t="shared" si="2"/>
        <v>QueenslandIn-training441661st revision</v>
      </c>
      <c r="B161" s="3">
        <v>160</v>
      </c>
      <c r="C161" s="2" t="s">
        <v>5</v>
      </c>
      <c r="D161" s="2" t="s">
        <v>80</v>
      </c>
      <c r="E161">
        <v>2021.2</v>
      </c>
      <c r="F161">
        <v>108</v>
      </c>
      <c r="G161" s="70">
        <v>44166</v>
      </c>
      <c r="H161">
        <v>64456</v>
      </c>
      <c r="I161">
        <v>0</v>
      </c>
      <c r="J161" s="2" t="s">
        <v>0</v>
      </c>
      <c r="K161">
        <v>64045</v>
      </c>
      <c r="L161">
        <v>64867</v>
      </c>
      <c r="M161">
        <v>64784</v>
      </c>
      <c r="N161">
        <v>99.5</v>
      </c>
      <c r="O161" s="2" t="s">
        <v>27</v>
      </c>
      <c r="P161">
        <v>65292</v>
      </c>
      <c r="Q161">
        <v>0</v>
      </c>
      <c r="R161" s="97"/>
      <c r="S161" s="2"/>
    </row>
    <row r="162" spans="1:19" x14ac:dyDescent="0.25">
      <c r="A162" s="96" t="str">
        <f t="shared" si="2"/>
        <v>South AustraliaCancellations/withdrawals43891Initial</v>
      </c>
      <c r="B162" s="3">
        <v>161</v>
      </c>
      <c r="C162" s="2" t="s">
        <v>6</v>
      </c>
      <c r="D162" s="2" t="s">
        <v>77</v>
      </c>
      <c r="E162">
        <v>2020.3</v>
      </c>
      <c r="F162">
        <v>104</v>
      </c>
      <c r="G162" s="70">
        <v>43891</v>
      </c>
      <c r="H162">
        <v>830</v>
      </c>
      <c r="I162">
        <v>0</v>
      </c>
      <c r="J162" s="2" t="s">
        <v>31</v>
      </c>
      <c r="K162">
        <v>709</v>
      </c>
      <c r="L162">
        <v>951</v>
      </c>
      <c r="M162">
        <v>866</v>
      </c>
      <c r="N162">
        <v>95.8</v>
      </c>
      <c r="O162" s="2" t="s">
        <v>28</v>
      </c>
      <c r="P162">
        <v>652</v>
      </c>
      <c r="Q162">
        <v>0</v>
      </c>
      <c r="R162" s="97"/>
      <c r="S162" s="2"/>
    </row>
    <row r="163" spans="1:19" x14ac:dyDescent="0.25">
      <c r="A163" s="96" t="str">
        <f t="shared" si="2"/>
        <v>South AustraliaCancellations/withdrawals438911st revision</v>
      </c>
      <c r="B163" s="3">
        <v>162</v>
      </c>
      <c r="C163" s="2" t="s">
        <v>6</v>
      </c>
      <c r="D163" s="2" t="s">
        <v>77</v>
      </c>
      <c r="E163">
        <v>2020.3</v>
      </c>
      <c r="F163">
        <v>105</v>
      </c>
      <c r="G163" s="70">
        <v>43891</v>
      </c>
      <c r="H163">
        <v>862</v>
      </c>
      <c r="I163">
        <v>0</v>
      </c>
      <c r="J163" s="2" t="s">
        <v>0</v>
      </c>
      <c r="K163">
        <v>785</v>
      </c>
      <c r="L163">
        <v>939</v>
      </c>
      <c r="M163">
        <v>866</v>
      </c>
      <c r="N163">
        <v>99.5</v>
      </c>
      <c r="O163" s="2" t="s">
        <v>28</v>
      </c>
      <c r="P163">
        <v>761</v>
      </c>
      <c r="Q163">
        <v>0</v>
      </c>
      <c r="R163" s="97"/>
      <c r="S163" s="2"/>
    </row>
    <row r="164" spans="1:19" x14ac:dyDescent="0.25">
      <c r="A164" s="96" t="str">
        <f t="shared" si="2"/>
        <v>South AustraliaCancellations/withdrawals43983Initial</v>
      </c>
      <c r="B164" s="3">
        <v>163</v>
      </c>
      <c r="C164" s="2" t="s">
        <v>6</v>
      </c>
      <c r="D164" s="2" t="s">
        <v>77</v>
      </c>
      <c r="E164">
        <v>2020.4</v>
      </c>
      <c r="F164">
        <v>105</v>
      </c>
      <c r="G164" s="70">
        <v>43983</v>
      </c>
      <c r="H164">
        <v>769</v>
      </c>
      <c r="I164">
        <v>0</v>
      </c>
      <c r="J164" s="2" t="s">
        <v>31</v>
      </c>
      <c r="K164">
        <v>657</v>
      </c>
      <c r="L164">
        <v>881</v>
      </c>
      <c r="M164">
        <v>713</v>
      </c>
      <c r="N164">
        <v>107.9</v>
      </c>
      <c r="O164" s="2" t="s">
        <v>28</v>
      </c>
      <c r="P164">
        <v>612</v>
      </c>
      <c r="Q164">
        <v>0</v>
      </c>
      <c r="R164" s="97"/>
      <c r="S164" s="2"/>
    </row>
    <row r="165" spans="1:19" x14ac:dyDescent="0.25">
      <c r="A165" s="96" t="str">
        <f t="shared" si="2"/>
        <v>South AustraliaCancellations/withdrawals439831st revision</v>
      </c>
      <c r="B165" s="3">
        <v>164</v>
      </c>
      <c r="C165" s="2" t="s">
        <v>6</v>
      </c>
      <c r="D165" s="2" t="s">
        <v>77</v>
      </c>
      <c r="E165">
        <v>2020.4</v>
      </c>
      <c r="F165">
        <v>106</v>
      </c>
      <c r="G165" s="70">
        <v>43983</v>
      </c>
      <c r="H165">
        <v>753</v>
      </c>
      <c r="I165">
        <v>0</v>
      </c>
      <c r="J165" s="2" t="s">
        <v>0</v>
      </c>
      <c r="K165">
        <v>689</v>
      </c>
      <c r="L165">
        <v>817</v>
      </c>
      <c r="M165">
        <v>713</v>
      </c>
      <c r="N165">
        <v>105.6</v>
      </c>
      <c r="O165" s="2" t="s">
        <v>28</v>
      </c>
      <c r="P165">
        <v>664</v>
      </c>
      <c r="Q165">
        <v>0</v>
      </c>
      <c r="R165" s="97"/>
      <c r="S165" s="2"/>
    </row>
    <row r="166" spans="1:19" x14ac:dyDescent="0.25">
      <c r="A166" s="96" t="str">
        <f t="shared" si="2"/>
        <v>South AustraliaCancellations/withdrawals44075Initial</v>
      </c>
      <c r="B166" s="3">
        <v>165</v>
      </c>
      <c r="C166" s="2" t="s">
        <v>6</v>
      </c>
      <c r="D166" s="2" t="s">
        <v>77</v>
      </c>
      <c r="E166">
        <v>2021.1</v>
      </c>
      <c r="F166">
        <v>106</v>
      </c>
      <c r="G166" s="70">
        <v>44075</v>
      </c>
      <c r="H166">
        <v>814</v>
      </c>
      <c r="I166">
        <v>0</v>
      </c>
      <c r="J166" s="2" t="s">
        <v>31</v>
      </c>
      <c r="K166">
        <v>707</v>
      </c>
      <c r="L166">
        <v>921</v>
      </c>
      <c r="M166">
        <v>798</v>
      </c>
      <c r="N166">
        <v>102</v>
      </c>
      <c r="O166" s="2" t="s">
        <v>28</v>
      </c>
      <c r="P166">
        <v>650</v>
      </c>
      <c r="Q166">
        <v>0</v>
      </c>
      <c r="R166" s="97"/>
      <c r="S166" s="2"/>
    </row>
    <row r="167" spans="1:19" x14ac:dyDescent="0.25">
      <c r="A167" s="96" t="str">
        <f t="shared" si="2"/>
        <v>South AustraliaCancellations/withdrawals440751st revision</v>
      </c>
      <c r="B167" s="3">
        <v>166</v>
      </c>
      <c r="C167" s="2" t="s">
        <v>6</v>
      </c>
      <c r="D167" s="2" t="s">
        <v>77</v>
      </c>
      <c r="E167">
        <v>2021.1</v>
      </c>
      <c r="F167">
        <v>107</v>
      </c>
      <c r="G167" s="70">
        <v>44075</v>
      </c>
      <c r="H167">
        <v>778</v>
      </c>
      <c r="I167">
        <v>0</v>
      </c>
      <c r="J167" s="2" t="s">
        <v>0</v>
      </c>
      <c r="K167">
        <v>730</v>
      </c>
      <c r="L167">
        <v>826</v>
      </c>
      <c r="M167">
        <v>798</v>
      </c>
      <c r="N167">
        <v>97.5</v>
      </c>
      <c r="O167" s="2" t="s">
        <v>28</v>
      </c>
      <c r="P167">
        <v>692</v>
      </c>
      <c r="Q167">
        <v>0</v>
      </c>
      <c r="R167" s="97"/>
      <c r="S167" s="2"/>
    </row>
    <row r="168" spans="1:19" x14ac:dyDescent="0.25">
      <c r="A168" s="96" t="str">
        <f t="shared" si="2"/>
        <v>South AustraliaCancellations/withdrawals44166Initial</v>
      </c>
      <c r="B168" s="3">
        <v>167</v>
      </c>
      <c r="C168" s="2" t="s">
        <v>6</v>
      </c>
      <c r="D168" s="2" t="s">
        <v>77</v>
      </c>
      <c r="E168">
        <v>2021.2</v>
      </c>
      <c r="F168">
        <v>107</v>
      </c>
      <c r="G168" s="70">
        <v>44166</v>
      </c>
      <c r="H168">
        <v>934</v>
      </c>
      <c r="I168">
        <v>0</v>
      </c>
      <c r="J168" s="2" t="s">
        <v>31</v>
      </c>
      <c r="K168">
        <v>867</v>
      </c>
      <c r="L168">
        <v>1001</v>
      </c>
      <c r="M168">
        <v>1000</v>
      </c>
      <c r="N168">
        <v>93.4</v>
      </c>
      <c r="O168" s="2" t="s">
        <v>28</v>
      </c>
      <c r="P168">
        <v>758</v>
      </c>
      <c r="Q168">
        <v>0</v>
      </c>
      <c r="R168" s="97"/>
      <c r="S168" s="2"/>
    </row>
    <row r="169" spans="1:19" x14ac:dyDescent="0.25">
      <c r="A169" s="96" t="str">
        <f t="shared" si="2"/>
        <v>South AustraliaCancellations/withdrawals441661st revision</v>
      </c>
      <c r="B169" s="3">
        <v>168</v>
      </c>
      <c r="C169" s="2" t="s">
        <v>6</v>
      </c>
      <c r="D169" s="2" t="s">
        <v>77</v>
      </c>
      <c r="E169">
        <v>2021.2</v>
      </c>
      <c r="F169">
        <v>108</v>
      </c>
      <c r="G169" s="70">
        <v>44166</v>
      </c>
      <c r="H169">
        <v>1007</v>
      </c>
      <c r="I169">
        <v>0</v>
      </c>
      <c r="J169" s="2" t="s">
        <v>0</v>
      </c>
      <c r="K169">
        <v>936</v>
      </c>
      <c r="L169">
        <v>1078</v>
      </c>
      <c r="M169">
        <v>1000</v>
      </c>
      <c r="N169">
        <v>100.7</v>
      </c>
      <c r="O169" s="2" t="s">
        <v>28</v>
      </c>
      <c r="P169">
        <v>895</v>
      </c>
      <c r="Q169">
        <v>0</v>
      </c>
      <c r="R169" s="97"/>
      <c r="S169" s="2"/>
    </row>
    <row r="170" spans="1:19" x14ac:dyDescent="0.25">
      <c r="A170" s="96" t="str">
        <f t="shared" si="2"/>
        <v>South AustraliaCommencements44256Initial</v>
      </c>
      <c r="B170" s="3">
        <v>169</v>
      </c>
      <c r="C170" s="2" t="s">
        <v>6</v>
      </c>
      <c r="D170" s="2" t="s">
        <v>78</v>
      </c>
      <c r="E170">
        <v>2021.3</v>
      </c>
      <c r="F170">
        <v>108</v>
      </c>
      <c r="G170" s="70">
        <v>44256</v>
      </c>
      <c r="H170">
        <v>4229</v>
      </c>
      <c r="I170">
        <v>0</v>
      </c>
      <c r="J170" s="2" t="s">
        <v>31</v>
      </c>
      <c r="K170">
        <v>4073</v>
      </c>
      <c r="L170">
        <v>4385</v>
      </c>
      <c r="M170">
        <v>4369</v>
      </c>
      <c r="N170">
        <v>96.8</v>
      </c>
      <c r="O170" s="2" t="s">
        <v>28</v>
      </c>
      <c r="P170">
        <v>4098</v>
      </c>
      <c r="Q170">
        <v>0</v>
      </c>
      <c r="R170" s="97"/>
      <c r="S170" s="2"/>
    </row>
    <row r="171" spans="1:19" x14ac:dyDescent="0.25">
      <c r="A171" s="96" t="str">
        <f t="shared" si="2"/>
        <v>South AustraliaCommencements442561st revision</v>
      </c>
      <c r="B171" s="3">
        <v>170</v>
      </c>
      <c r="C171" s="2" t="s">
        <v>6</v>
      </c>
      <c r="D171" s="2" t="s">
        <v>78</v>
      </c>
      <c r="E171">
        <v>2021.3</v>
      </c>
      <c r="F171">
        <v>109</v>
      </c>
      <c r="G171" s="70">
        <v>44256</v>
      </c>
      <c r="H171">
        <v>4344</v>
      </c>
      <c r="I171">
        <v>0</v>
      </c>
      <c r="J171" s="2" t="s">
        <v>0</v>
      </c>
      <c r="K171">
        <v>4311</v>
      </c>
      <c r="L171">
        <v>4377</v>
      </c>
      <c r="M171">
        <v>4369</v>
      </c>
      <c r="N171">
        <v>99.4</v>
      </c>
      <c r="O171" s="2" t="s">
        <v>28</v>
      </c>
      <c r="P171">
        <v>4324</v>
      </c>
      <c r="Q171">
        <v>0</v>
      </c>
      <c r="R171" s="97"/>
      <c r="S171" s="2"/>
    </row>
    <row r="172" spans="1:19" x14ac:dyDescent="0.25">
      <c r="A172" s="96" t="str">
        <f t="shared" si="2"/>
        <v>South AustraliaCommencements44348Initial</v>
      </c>
      <c r="B172" s="3">
        <v>171</v>
      </c>
      <c r="C172" s="2" t="s">
        <v>6</v>
      </c>
      <c r="D172" s="2" t="s">
        <v>78</v>
      </c>
      <c r="E172">
        <v>2021.4</v>
      </c>
      <c r="F172">
        <v>109</v>
      </c>
      <c r="G172" s="70">
        <v>44348</v>
      </c>
      <c r="H172">
        <v>3083</v>
      </c>
      <c r="I172">
        <v>0</v>
      </c>
      <c r="J172" s="2" t="s">
        <v>31</v>
      </c>
      <c r="K172">
        <v>2973</v>
      </c>
      <c r="L172">
        <v>3193</v>
      </c>
      <c r="M172">
        <v>3296</v>
      </c>
      <c r="N172">
        <v>93.5</v>
      </c>
      <c r="O172" s="2" t="s">
        <v>27</v>
      </c>
      <c r="P172">
        <v>2994</v>
      </c>
      <c r="Q172">
        <v>0</v>
      </c>
      <c r="R172" s="97"/>
      <c r="S172" s="2"/>
    </row>
    <row r="173" spans="1:19" x14ac:dyDescent="0.25">
      <c r="A173" s="96" t="str">
        <f t="shared" si="2"/>
        <v>South AustraliaCommencements443481st revision</v>
      </c>
      <c r="B173" s="3">
        <v>172</v>
      </c>
      <c r="C173" s="2" t="s">
        <v>6</v>
      </c>
      <c r="D173" s="2" t="s">
        <v>78</v>
      </c>
      <c r="E173">
        <v>2021.4</v>
      </c>
      <c r="F173">
        <v>110</v>
      </c>
      <c r="G173" s="70">
        <v>44348</v>
      </c>
      <c r="H173">
        <v>3276</v>
      </c>
      <c r="I173">
        <v>0</v>
      </c>
      <c r="J173" s="2" t="s">
        <v>0</v>
      </c>
      <c r="K173">
        <v>3256</v>
      </c>
      <c r="L173">
        <v>3296</v>
      </c>
      <c r="M173">
        <v>3296</v>
      </c>
      <c r="N173">
        <v>99.4</v>
      </c>
      <c r="O173" s="2" t="s">
        <v>27</v>
      </c>
      <c r="P173">
        <v>3264</v>
      </c>
      <c r="Q173">
        <v>0</v>
      </c>
      <c r="R173" s="97"/>
      <c r="S173" s="2"/>
    </row>
    <row r="174" spans="1:19" x14ac:dyDescent="0.25">
      <c r="A174" s="96" t="str">
        <f t="shared" si="2"/>
        <v>South AustraliaCommencements44440Initial</v>
      </c>
      <c r="B174" s="3">
        <v>173</v>
      </c>
      <c r="C174" s="2" t="s">
        <v>6</v>
      </c>
      <c r="D174" s="2" t="s">
        <v>78</v>
      </c>
      <c r="E174">
        <v>2022.1</v>
      </c>
      <c r="F174">
        <v>110</v>
      </c>
      <c r="G174" s="70">
        <v>44440</v>
      </c>
      <c r="H174">
        <v>3679</v>
      </c>
      <c r="I174">
        <v>0</v>
      </c>
      <c r="J174" s="2" t="s">
        <v>31</v>
      </c>
      <c r="K174">
        <v>3623</v>
      </c>
      <c r="L174">
        <v>3735</v>
      </c>
      <c r="M174">
        <v>3913</v>
      </c>
      <c r="N174">
        <v>94</v>
      </c>
      <c r="O174" s="2" t="s">
        <v>27</v>
      </c>
      <c r="P174">
        <v>3590</v>
      </c>
      <c r="Q174">
        <v>0</v>
      </c>
      <c r="R174" s="97"/>
      <c r="S174" s="2"/>
    </row>
    <row r="175" spans="1:19" x14ac:dyDescent="0.25">
      <c r="A175" s="96" t="str">
        <f t="shared" si="2"/>
        <v>South AustraliaCommencements444401st revision</v>
      </c>
      <c r="B175" s="3">
        <v>174</v>
      </c>
      <c r="C175" s="2" t="s">
        <v>6</v>
      </c>
      <c r="D175" s="2" t="s">
        <v>78</v>
      </c>
      <c r="E175">
        <v>2022.1</v>
      </c>
      <c r="F175">
        <v>111</v>
      </c>
      <c r="G175" s="70">
        <v>44440</v>
      </c>
      <c r="H175">
        <v>3903</v>
      </c>
      <c r="I175">
        <v>0</v>
      </c>
      <c r="J175" s="2" t="s">
        <v>0</v>
      </c>
      <c r="K175">
        <v>3854</v>
      </c>
      <c r="L175">
        <v>3952</v>
      </c>
      <c r="M175">
        <v>3913</v>
      </c>
      <c r="N175">
        <v>99.7</v>
      </c>
      <c r="O175" s="2" t="s">
        <v>27</v>
      </c>
      <c r="P175">
        <v>3883</v>
      </c>
      <c r="Q175">
        <v>0</v>
      </c>
      <c r="R175" s="97"/>
      <c r="S175" s="2"/>
    </row>
    <row r="176" spans="1:19" x14ac:dyDescent="0.25">
      <c r="A176" s="96" t="str">
        <f t="shared" si="2"/>
        <v>South AustraliaCommencements44531Initial</v>
      </c>
      <c r="B176" s="3">
        <v>175</v>
      </c>
      <c r="C176" s="2" t="s">
        <v>6</v>
      </c>
      <c r="D176" s="2" t="s">
        <v>78</v>
      </c>
      <c r="E176">
        <v>2022.2</v>
      </c>
      <c r="F176">
        <v>111</v>
      </c>
      <c r="G176" s="70">
        <v>44531</v>
      </c>
      <c r="H176">
        <v>3466</v>
      </c>
      <c r="I176">
        <v>0</v>
      </c>
      <c r="J176" s="2" t="s">
        <v>31</v>
      </c>
      <c r="K176">
        <v>3257</v>
      </c>
      <c r="L176">
        <v>3675</v>
      </c>
      <c r="M176">
        <v>3614</v>
      </c>
      <c r="N176">
        <v>95.9</v>
      </c>
      <c r="O176" s="2" t="s">
        <v>28</v>
      </c>
      <c r="P176">
        <v>3355</v>
      </c>
      <c r="Q176">
        <v>0</v>
      </c>
      <c r="R176" s="97"/>
      <c r="S176" s="2"/>
    </row>
    <row r="177" spans="1:19" x14ac:dyDescent="0.25">
      <c r="A177" s="96" t="str">
        <f t="shared" si="2"/>
        <v>South AustraliaCommencements445311st revision</v>
      </c>
      <c r="B177" s="3">
        <v>176</v>
      </c>
      <c r="C177" s="2" t="s">
        <v>6</v>
      </c>
      <c r="D177" s="2" t="s">
        <v>78</v>
      </c>
      <c r="E177">
        <v>2022.2</v>
      </c>
      <c r="F177">
        <v>112</v>
      </c>
      <c r="G177" s="70">
        <v>44531</v>
      </c>
      <c r="H177">
        <v>3565</v>
      </c>
      <c r="I177">
        <v>0</v>
      </c>
      <c r="J177" s="2" t="s">
        <v>0</v>
      </c>
      <c r="K177">
        <v>3517</v>
      </c>
      <c r="L177">
        <v>3613</v>
      </c>
      <c r="M177">
        <v>3614</v>
      </c>
      <c r="N177">
        <v>98.6</v>
      </c>
      <c r="O177" s="2" t="s">
        <v>28</v>
      </c>
      <c r="P177">
        <v>3545</v>
      </c>
      <c r="Q177">
        <v>0</v>
      </c>
      <c r="R177" s="97"/>
      <c r="S177" s="2"/>
    </row>
    <row r="178" spans="1:19" x14ac:dyDescent="0.25">
      <c r="A178" s="96" t="str">
        <f t="shared" si="2"/>
        <v>South AustraliaCompletions44256Initial</v>
      </c>
      <c r="B178" s="3">
        <v>177</v>
      </c>
      <c r="C178" s="2" t="s">
        <v>6</v>
      </c>
      <c r="D178" s="2" t="s">
        <v>79</v>
      </c>
      <c r="E178">
        <v>2021.3</v>
      </c>
      <c r="F178">
        <v>108</v>
      </c>
      <c r="G178" s="70">
        <v>44256</v>
      </c>
      <c r="H178">
        <v>1365</v>
      </c>
      <c r="I178">
        <v>0</v>
      </c>
      <c r="J178" s="2" t="s">
        <v>31</v>
      </c>
      <c r="K178">
        <v>1314</v>
      </c>
      <c r="L178">
        <v>1416</v>
      </c>
      <c r="M178">
        <v>1318</v>
      </c>
      <c r="N178">
        <v>103.6</v>
      </c>
      <c r="O178" s="2" t="s">
        <v>28</v>
      </c>
      <c r="P178">
        <v>1189</v>
      </c>
      <c r="Q178">
        <v>0</v>
      </c>
      <c r="R178" s="97"/>
      <c r="S178" s="2"/>
    </row>
    <row r="179" spans="1:19" x14ac:dyDescent="0.25">
      <c r="A179" s="96" t="str">
        <f t="shared" si="2"/>
        <v>South AustraliaCompletions442561st revision</v>
      </c>
      <c r="B179" s="3">
        <v>178</v>
      </c>
      <c r="C179" s="2" t="s">
        <v>6</v>
      </c>
      <c r="D179" s="2" t="s">
        <v>79</v>
      </c>
      <c r="E179">
        <v>2021.3</v>
      </c>
      <c r="F179">
        <v>109</v>
      </c>
      <c r="G179" s="70">
        <v>44256</v>
      </c>
      <c r="H179">
        <v>1354</v>
      </c>
      <c r="I179">
        <v>0</v>
      </c>
      <c r="J179" s="2" t="s">
        <v>0</v>
      </c>
      <c r="K179">
        <v>1284</v>
      </c>
      <c r="L179">
        <v>1424</v>
      </c>
      <c r="M179">
        <v>1318</v>
      </c>
      <c r="N179">
        <v>102.7</v>
      </c>
      <c r="O179" s="2" t="s">
        <v>28</v>
      </c>
      <c r="P179">
        <v>1262</v>
      </c>
      <c r="Q179">
        <v>0</v>
      </c>
      <c r="R179" s="97"/>
      <c r="S179" s="2"/>
    </row>
    <row r="180" spans="1:19" x14ac:dyDescent="0.25">
      <c r="A180" s="96" t="str">
        <f t="shared" si="2"/>
        <v>South AustraliaCompletions44348Initial</v>
      </c>
      <c r="B180" s="3">
        <v>179</v>
      </c>
      <c r="C180" s="2" t="s">
        <v>6</v>
      </c>
      <c r="D180" s="2" t="s">
        <v>79</v>
      </c>
      <c r="E180">
        <v>2021.4</v>
      </c>
      <c r="F180">
        <v>109</v>
      </c>
      <c r="G180" s="70">
        <v>44348</v>
      </c>
      <c r="H180">
        <v>1329</v>
      </c>
      <c r="I180">
        <v>0</v>
      </c>
      <c r="J180" s="2" t="s">
        <v>31</v>
      </c>
      <c r="K180">
        <v>1237</v>
      </c>
      <c r="L180">
        <v>1421</v>
      </c>
      <c r="M180">
        <v>1285</v>
      </c>
      <c r="N180">
        <v>103.4</v>
      </c>
      <c r="O180" s="2" t="s">
        <v>28</v>
      </c>
      <c r="P180">
        <v>1165</v>
      </c>
      <c r="Q180">
        <v>0</v>
      </c>
      <c r="R180" s="97"/>
      <c r="S180" s="2"/>
    </row>
    <row r="181" spans="1:19" x14ac:dyDescent="0.25">
      <c r="A181" s="96" t="str">
        <f t="shared" si="2"/>
        <v>South AustraliaCompletions443481st revision</v>
      </c>
      <c r="B181" s="3">
        <v>180</v>
      </c>
      <c r="C181" s="2" t="s">
        <v>6</v>
      </c>
      <c r="D181" s="2" t="s">
        <v>79</v>
      </c>
      <c r="E181">
        <v>2021.4</v>
      </c>
      <c r="F181">
        <v>110</v>
      </c>
      <c r="G181" s="70">
        <v>44348</v>
      </c>
      <c r="H181">
        <v>1321</v>
      </c>
      <c r="I181">
        <v>0</v>
      </c>
      <c r="J181" s="2" t="s">
        <v>0</v>
      </c>
      <c r="K181">
        <v>1267</v>
      </c>
      <c r="L181">
        <v>1375</v>
      </c>
      <c r="M181">
        <v>1285</v>
      </c>
      <c r="N181">
        <v>102.8</v>
      </c>
      <c r="O181" s="2" t="s">
        <v>28</v>
      </c>
      <c r="P181">
        <v>1234</v>
      </c>
      <c r="Q181">
        <v>0</v>
      </c>
      <c r="R181" s="97"/>
      <c r="S181" s="2"/>
    </row>
    <row r="182" spans="1:19" x14ac:dyDescent="0.25">
      <c r="A182" s="96" t="str">
        <f t="shared" si="2"/>
        <v>South AustraliaCompletions44440Initial</v>
      </c>
      <c r="B182" s="3">
        <v>181</v>
      </c>
      <c r="C182" s="2" t="s">
        <v>6</v>
      </c>
      <c r="D182" s="2" t="s">
        <v>79</v>
      </c>
      <c r="E182">
        <v>2022.1</v>
      </c>
      <c r="F182">
        <v>110</v>
      </c>
      <c r="G182" s="70">
        <v>44440</v>
      </c>
      <c r="H182">
        <v>1358</v>
      </c>
      <c r="I182">
        <v>0</v>
      </c>
      <c r="J182" s="2" t="s">
        <v>31</v>
      </c>
      <c r="K182">
        <v>1276</v>
      </c>
      <c r="L182">
        <v>1440</v>
      </c>
      <c r="M182">
        <v>1312</v>
      </c>
      <c r="N182">
        <v>103.5</v>
      </c>
      <c r="O182" s="2" t="s">
        <v>28</v>
      </c>
      <c r="P182">
        <v>1192</v>
      </c>
      <c r="Q182">
        <v>0</v>
      </c>
      <c r="R182" s="97"/>
      <c r="S182" s="2"/>
    </row>
    <row r="183" spans="1:19" x14ac:dyDescent="0.25">
      <c r="A183" s="96" t="str">
        <f t="shared" si="2"/>
        <v>South AustraliaCompletions444401st revision</v>
      </c>
      <c r="B183" s="3">
        <v>182</v>
      </c>
      <c r="C183" s="2" t="s">
        <v>6</v>
      </c>
      <c r="D183" s="2" t="s">
        <v>79</v>
      </c>
      <c r="E183">
        <v>2022.1</v>
      </c>
      <c r="F183">
        <v>111</v>
      </c>
      <c r="G183" s="70">
        <v>44440</v>
      </c>
      <c r="H183">
        <v>1360</v>
      </c>
      <c r="I183">
        <v>0</v>
      </c>
      <c r="J183" s="2" t="s">
        <v>0</v>
      </c>
      <c r="K183">
        <v>1300</v>
      </c>
      <c r="L183">
        <v>1420</v>
      </c>
      <c r="M183">
        <v>1312</v>
      </c>
      <c r="N183">
        <v>103.7</v>
      </c>
      <c r="O183" s="2" t="s">
        <v>28</v>
      </c>
      <c r="P183">
        <v>1272</v>
      </c>
      <c r="Q183">
        <v>0</v>
      </c>
      <c r="R183" s="97"/>
      <c r="S183" s="2"/>
    </row>
    <row r="184" spans="1:19" x14ac:dyDescent="0.25">
      <c r="A184" s="96" t="str">
        <f t="shared" si="2"/>
        <v>South AustraliaCompletions44531Initial</v>
      </c>
      <c r="B184" s="3">
        <v>183</v>
      </c>
      <c r="C184" s="2" t="s">
        <v>6</v>
      </c>
      <c r="D184" s="2" t="s">
        <v>79</v>
      </c>
      <c r="E184">
        <v>2022.2</v>
      </c>
      <c r="F184">
        <v>111</v>
      </c>
      <c r="G184" s="70">
        <v>44531</v>
      </c>
      <c r="H184">
        <v>1828</v>
      </c>
      <c r="I184">
        <v>0</v>
      </c>
      <c r="J184" s="2" t="s">
        <v>31</v>
      </c>
      <c r="K184">
        <v>1703</v>
      </c>
      <c r="L184">
        <v>1953</v>
      </c>
      <c r="M184">
        <v>1798</v>
      </c>
      <c r="N184">
        <v>101.7</v>
      </c>
      <c r="O184" s="2" t="s">
        <v>28</v>
      </c>
      <c r="P184">
        <v>1598</v>
      </c>
      <c r="Q184">
        <v>0</v>
      </c>
      <c r="R184" s="97"/>
      <c r="S184" s="2"/>
    </row>
    <row r="185" spans="1:19" x14ac:dyDescent="0.25">
      <c r="A185" s="96" t="str">
        <f t="shared" si="2"/>
        <v>South AustraliaCompletions445311st revision</v>
      </c>
      <c r="B185" s="3">
        <v>184</v>
      </c>
      <c r="C185" s="2" t="s">
        <v>6</v>
      </c>
      <c r="D185" s="2" t="s">
        <v>79</v>
      </c>
      <c r="E185">
        <v>2022.2</v>
      </c>
      <c r="F185">
        <v>112</v>
      </c>
      <c r="G185" s="70">
        <v>44531</v>
      </c>
      <c r="H185">
        <v>1822</v>
      </c>
      <c r="I185">
        <v>0</v>
      </c>
      <c r="J185" s="2" t="s">
        <v>0</v>
      </c>
      <c r="K185">
        <v>1730</v>
      </c>
      <c r="L185">
        <v>1914</v>
      </c>
      <c r="M185">
        <v>1798</v>
      </c>
      <c r="N185">
        <v>101.3</v>
      </c>
      <c r="O185" s="2" t="s">
        <v>28</v>
      </c>
      <c r="P185">
        <v>1704</v>
      </c>
      <c r="Q185">
        <v>0</v>
      </c>
      <c r="R185" s="97"/>
      <c r="S185" s="2"/>
    </row>
    <row r="186" spans="1:19" x14ac:dyDescent="0.25">
      <c r="A186" s="96" t="str">
        <f t="shared" si="2"/>
        <v>South AustraliaIn-training43891Initial</v>
      </c>
      <c r="B186" s="3">
        <v>185</v>
      </c>
      <c r="C186" s="2" t="s">
        <v>6</v>
      </c>
      <c r="D186" s="2" t="s">
        <v>80</v>
      </c>
      <c r="E186">
        <v>2020.3</v>
      </c>
      <c r="F186">
        <v>104</v>
      </c>
      <c r="G186" s="70">
        <v>43891</v>
      </c>
      <c r="H186">
        <v>18182</v>
      </c>
      <c r="I186">
        <v>0</v>
      </c>
      <c r="J186" s="2" t="s">
        <v>31</v>
      </c>
      <c r="K186">
        <v>17945</v>
      </c>
      <c r="L186">
        <v>18419</v>
      </c>
      <c r="M186">
        <v>17813</v>
      </c>
      <c r="N186">
        <v>102.1</v>
      </c>
      <c r="O186" s="2" t="s">
        <v>27</v>
      </c>
      <c r="P186">
        <v>18447</v>
      </c>
      <c r="Q186">
        <v>0</v>
      </c>
      <c r="R186" s="97"/>
      <c r="S186" s="2"/>
    </row>
    <row r="187" spans="1:19" x14ac:dyDescent="0.25">
      <c r="A187" s="96" t="str">
        <f t="shared" si="2"/>
        <v>South AustraliaIn-training438911st revision</v>
      </c>
      <c r="B187" s="3">
        <v>186</v>
      </c>
      <c r="C187" s="2" t="s">
        <v>6</v>
      </c>
      <c r="D187" s="2" t="s">
        <v>80</v>
      </c>
      <c r="E187">
        <v>2020.3</v>
      </c>
      <c r="F187">
        <v>105</v>
      </c>
      <c r="G187" s="70">
        <v>43891</v>
      </c>
      <c r="H187">
        <v>18029</v>
      </c>
      <c r="I187">
        <v>0</v>
      </c>
      <c r="J187" s="2" t="s">
        <v>0</v>
      </c>
      <c r="K187">
        <v>17866</v>
      </c>
      <c r="L187">
        <v>18192</v>
      </c>
      <c r="M187">
        <v>17813</v>
      </c>
      <c r="N187">
        <v>101.2</v>
      </c>
      <c r="O187" s="2" t="s">
        <v>27</v>
      </c>
      <c r="P187">
        <v>18218</v>
      </c>
      <c r="Q187">
        <v>0</v>
      </c>
      <c r="R187" s="97"/>
      <c r="S187" s="2"/>
    </row>
    <row r="188" spans="1:19" x14ac:dyDescent="0.25">
      <c r="A188" s="96" t="str">
        <f t="shared" si="2"/>
        <v>South AustraliaIn-training43983Initial</v>
      </c>
      <c r="B188" s="3">
        <v>187</v>
      </c>
      <c r="C188" s="2" t="s">
        <v>6</v>
      </c>
      <c r="D188" s="2" t="s">
        <v>80</v>
      </c>
      <c r="E188">
        <v>2020.4</v>
      </c>
      <c r="F188">
        <v>105</v>
      </c>
      <c r="G188" s="70">
        <v>43983</v>
      </c>
      <c r="H188">
        <v>18047</v>
      </c>
      <c r="I188">
        <v>0</v>
      </c>
      <c r="J188" s="2" t="s">
        <v>31</v>
      </c>
      <c r="K188">
        <v>17829</v>
      </c>
      <c r="L188">
        <v>18265</v>
      </c>
      <c r="M188">
        <v>17891</v>
      </c>
      <c r="N188">
        <v>100.9</v>
      </c>
      <c r="O188" s="2" t="s">
        <v>28</v>
      </c>
      <c r="P188">
        <v>18348</v>
      </c>
      <c r="Q188">
        <v>0</v>
      </c>
      <c r="R188" s="97"/>
      <c r="S188" s="2"/>
    </row>
    <row r="189" spans="1:19" x14ac:dyDescent="0.25">
      <c r="A189" s="96" t="str">
        <f t="shared" si="2"/>
        <v>South AustraliaIn-training439831st revision</v>
      </c>
      <c r="B189" s="3">
        <v>188</v>
      </c>
      <c r="C189" s="2" t="s">
        <v>6</v>
      </c>
      <c r="D189" s="2" t="s">
        <v>80</v>
      </c>
      <c r="E189">
        <v>2020.4</v>
      </c>
      <c r="F189">
        <v>106</v>
      </c>
      <c r="G189" s="70">
        <v>43983</v>
      </c>
      <c r="H189">
        <v>18043</v>
      </c>
      <c r="I189">
        <v>0</v>
      </c>
      <c r="J189" s="2" t="s">
        <v>0</v>
      </c>
      <c r="K189">
        <v>17903</v>
      </c>
      <c r="L189">
        <v>18183</v>
      </c>
      <c r="M189">
        <v>17891</v>
      </c>
      <c r="N189">
        <v>100.8</v>
      </c>
      <c r="O189" s="2" t="s">
        <v>28</v>
      </c>
      <c r="P189">
        <v>18210</v>
      </c>
      <c r="Q189">
        <v>0</v>
      </c>
      <c r="R189" s="97"/>
      <c r="S189" s="2"/>
    </row>
    <row r="190" spans="1:19" x14ac:dyDescent="0.25">
      <c r="A190" s="96" t="str">
        <f t="shared" si="2"/>
        <v>South AustraliaIn-training44075Initial</v>
      </c>
      <c r="B190" s="3">
        <v>189</v>
      </c>
      <c r="C190" s="2" t="s">
        <v>6</v>
      </c>
      <c r="D190" s="2" t="s">
        <v>80</v>
      </c>
      <c r="E190">
        <v>2021.1</v>
      </c>
      <c r="F190">
        <v>106</v>
      </c>
      <c r="G190" s="70">
        <v>44075</v>
      </c>
      <c r="H190">
        <v>18581</v>
      </c>
      <c r="I190">
        <v>0</v>
      </c>
      <c r="J190" s="2" t="s">
        <v>31</v>
      </c>
      <c r="K190">
        <v>18378</v>
      </c>
      <c r="L190">
        <v>18784</v>
      </c>
      <c r="M190">
        <v>18355</v>
      </c>
      <c r="N190">
        <v>101.2</v>
      </c>
      <c r="O190" s="2" t="s">
        <v>27</v>
      </c>
      <c r="P190">
        <v>18831</v>
      </c>
      <c r="Q190">
        <v>0</v>
      </c>
      <c r="R190" s="97"/>
      <c r="S190" s="2"/>
    </row>
    <row r="191" spans="1:19" x14ac:dyDescent="0.25">
      <c r="A191" s="96" t="str">
        <f t="shared" si="2"/>
        <v>South AustraliaIn-training440751st revision</v>
      </c>
      <c r="B191" s="3">
        <v>190</v>
      </c>
      <c r="C191" s="2" t="s">
        <v>6</v>
      </c>
      <c r="D191" s="2" t="s">
        <v>80</v>
      </c>
      <c r="E191">
        <v>2021.1</v>
      </c>
      <c r="F191">
        <v>107</v>
      </c>
      <c r="G191" s="70">
        <v>44075</v>
      </c>
      <c r="H191">
        <v>18614</v>
      </c>
      <c r="I191">
        <v>0</v>
      </c>
      <c r="J191" s="2" t="s">
        <v>0</v>
      </c>
      <c r="K191">
        <v>18503</v>
      </c>
      <c r="L191">
        <v>18725</v>
      </c>
      <c r="M191">
        <v>18355</v>
      </c>
      <c r="N191">
        <v>101.4</v>
      </c>
      <c r="O191" s="2" t="s">
        <v>27</v>
      </c>
      <c r="P191">
        <v>18744</v>
      </c>
      <c r="Q191">
        <v>0</v>
      </c>
      <c r="R191" s="97"/>
      <c r="S191" s="2"/>
    </row>
    <row r="192" spans="1:19" x14ac:dyDescent="0.25">
      <c r="A192" s="96" t="str">
        <f t="shared" si="2"/>
        <v>South AustraliaIn-training44166Initial</v>
      </c>
      <c r="B192" s="3">
        <v>191</v>
      </c>
      <c r="C192" s="2" t="s">
        <v>6</v>
      </c>
      <c r="D192" s="2" t="s">
        <v>80</v>
      </c>
      <c r="E192">
        <v>2021.2</v>
      </c>
      <c r="F192">
        <v>107</v>
      </c>
      <c r="G192" s="70">
        <v>44166</v>
      </c>
      <c r="H192">
        <v>20894</v>
      </c>
      <c r="I192">
        <v>0</v>
      </c>
      <c r="J192" s="2" t="s">
        <v>31</v>
      </c>
      <c r="K192">
        <v>20691</v>
      </c>
      <c r="L192">
        <v>21097</v>
      </c>
      <c r="M192">
        <v>20752</v>
      </c>
      <c r="N192">
        <v>100.7</v>
      </c>
      <c r="O192" s="2" t="s">
        <v>28</v>
      </c>
      <c r="P192">
        <v>21064</v>
      </c>
      <c r="Q192">
        <v>0</v>
      </c>
      <c r="R192" s="97"/>
      <c r="S192" s="2"/>
    </row>
    <row r="193" spans="1:19" x14ac:dyDescent="0.25">
      <c r="A193" s="96" t="str">
        <f t="shared" si="2"/>
        <v>South AustraliaIn-training441661st revision</v>
      </c>
      <c r="B193" s="3">
        <v>192</v>
      </c>
      <c r="C193" s="2" t="s">
        <v>6</v>
      </c>
      <c r="D193" s="2" t="s">
        <v>80</v>
      </c>
      <c r="E193">
        <v>2021.2</v>
      </c>
      <c r="F193">
        <v>108</v>
      </c>
      <c r="G193" s="70">
        <v>44166</v>
      </c>
      <c r="H193">
        <v>20898</v>
      </c>
      <c r="I193">
        <v>0</v>
      </c>
      <c r="J193" s="2" t="s">
        <v>0</v>
      </c>
      <c r="K193">
        <v>20762</v>
      </c>
      <c r="L193">
        <v>21034</v>
      </c>
      <c r="M193">
        <v>20752</v>
      </c>
      <c r="N193">
        <v>100.7</v>
      </c>
      <c r="O193" s="2" t="s">
        <v>28</v>
      </c>
      <c r="P193">
        <v>21065</v>
      </c>
      <c r="Q193">
        <v>0</v>
      </c>
      <c r="R193" s="97"/>
      <c r="S193" s="2"/>
    </row>
    <row r="194" spans="1:19" x14ac:dyDescent="0.25">
      <c r="A194" s="96" t="str">
        <f t="shared" ref="A194:A257" si="3">CONCATENATE(C194,D194,G194,J194)</f>
        <v>TasmaniaCancellations/withdrawals43891Initial</v>
      </c>
      <c r="B194" s="3">
        <v>193</v>
      </c>
      <c r="C194" s="2" t="s">
        <v>7</v>
      </c>
      <c r="D194" s="2" t="s">
        <v>77</v>
      </c>
      <c r="E194">
        <v>2020.3</v>
      </c>
      <c r="F194">
        <v>104</v>
      </c>
      <c r="G194" s="70">
        <v>43891</v>
      </c>
      <c r="H194">
        <v>573</v>
      </c>
      <c r="I194">
        <v>0</v>
      </c>
      <c r="J194" s="2" t="s">
        <v>31</v>
      </c>
      <c r="K194">
        <v>512</v>
      </c>
      <c r="L194">
        <v>634</v>
      </c>
      <c r="M194">
        <v>585</v>
      </c>
      <c r="N194">
        <v>97.9</v>
      </c>
      <c r="O194" s="2" t="s">
        <v>28</v>
      </c>
      <c r="P194">
        <v>499</v>
      </c>
      <c r="Q194">
        <v>0</v>
      </c>
      <c r="R194" s="97"/>
      <c r="S194" s="2"/>
    </row>
    <row r="195" spans="1:19" x14ac:dyDescent="0.25">
      <c r="A195" s="96" t="str">
        <f t="shared" si="3"/>
        <v>TasmaniaCancellations/withdrawals438911st revision</v>
      </c>
      <c r="B195" s="3">
        <v>194</v>
      </c>
      <c r="C195" s="2" t="s">
        <v>7</v>
      </c>
      <c r="D195" s="2" t="s">
        <v>77</v>
      </c>
      <c r="E195">
        <v>2020.3</v>
      </c>
      <c r="F195">
        <v>105</v>
      </c>
      <c r="G195" s="70">
        <v>43891</v>
      </c>
      <c r="H195">
        <v>595</v>
      </c>
      <c r="I195">
        <v>0</v>
      </c>
      <c r="J195" s="2" t="s">
        <v>0</v>
      </c>
      <c r="K195">
        <v>557</v>
      </c>
      <c r="L195">
        <v>633</v>
      </c>
      <c r="M195">
        <v>585</v>
      </c>
      <c r="N195">
        <v>101.7</v>
      </c>
      <c r="O195" s="2" t="s">
        <v>28</v>
      </c>
      <c r="P195">
        <v>560</v>
      </c>
      <c r="Q195">
        <v>0</v>
      </c>
      <c r="R195" s="97"/>
      <c r="S195" s="2"/>
    </row>
    <row r="196" spans="1:19" x14ac:dyDescent="0.25">
      <c r="A196" s="96" t="str">
        <f t="shared" si="3"/>
        <v>TasmaniaCancellations/withdrawals43983Initial</v>
      </c>
      <c r="B196" s="3">
        <v>195</v>
      </c>
      <c r="C196" s="2" t="s">
        <v>7</v>
      </c>
      <c r="D196" s="2" t="s">
        <v>77</v>
      </c>
      <c r="E196">
        <v>2020.4</v>
      </c>
      <c r="F196">
        <v>105</v>
      </c>
      <c r="G196" s="70">
        <v>43983</v>
      </c>
      <c r="H196">
        <v>368</v>
      </c>
      <c r="I196">
        <v>0</v>
      </c>
      <c r="J196" s="2" t="s">
        <v>31</v>
      </c>
      <c r="K196">
        <v>329</v>
      </c>
      <c r="L196">
        <v>407</v>
      </c>
      <c r="M196">
        <v>383</v>
      </c>
      <c r="N196">
        <v>96.1</v>
      </c>
      <c r="O196" s="2" t="s">
        <v>28</v>
      </c>
      <c r="P196">
        <v>325</v>
      </c>
      <c r="Q196">
        <v>0</v>
      </c>
      <c r="R196" s="97"/>
      <c r="S196" s="2"/>
    </row>
    <row r="197" spans="1:19" x14ac:dyDescent="0.25">
      <c r="A197" s="96" t="str">
        <f t="shared" si="3"/>
        <v>TasmaniaCancellations/withdrawals439831st revision</v>
      </c>
      <c r="B197" s="3">
        <v>196</v>
      </c>
      <c r="C197" s="2" t="s">
        <v>7</v>
      </c>
      <c r="D197" s="2" t="s">
        <v>77</v>
      </c>
      <c r="E197">
        <v>2020.4</v>
      </c>
      <c r="F197">
        <v>106</v>
      </c>
      <c r="G197" s="70">
        <v>43983</v>
      </c>
      <c r="H197">
        <v>369</v>
      </c>
      <c r="I197">
        <v>0</v>
      </c>
      <c r="J197" s="2" t="s">
        <v>0</v>
      </c>
      <c r="K197">
        <v>348</v>
      </c>
      <c r="L197">
        <v>390</v>
      </c>
      <c r="M197">
        <v>383</v>
      </c>
      <c r="N197">
        <v>96.3</v>
      </c>
      <c r="O197" s="2" t="s">
        <v>28</v>
      </c>
      <c r="P197">
        <v>348</v>
      </c>
      <c r="Q197">
        <v>0</v>
      </c>
      <c r="R197" s="97"/>
      <c r="S197" s="2"/>
    </row>
    <row r="198" spans="1:19" x14ac:dyDescent="0.25">
      <c r="A198" s="96" t="str">
        <f t="shared" si="3"/>
        <v>TasmaniaCancellations/withdrawals44075Initial</v>
      </c>
      <c r="B198" s="3">
        <v>197</v>
      </c>
      <c r="C198" s="2" t="s">
        <v>7</v>
      </c>
      <c r="D198" s="2" t="s">
        <v>77</v>
      </c>
      <c r="E198">
        <v>2021.1</v>
      </c>
      <c r="F198">
        <v>106</v>
      </c>
      <c r="G198" s="70">
        <v>44075</v>
      </c>
      <c r="H198">
        <v>435</v>
      </c>
      <c r="I198">
        <v>0</v>
      </c>
      <c r="J198" s="2" t="s">
        <v>31</v>
      </c>
      <c r="K198">
        <v>388</v>
      </c>
      <c r="L198">
        <v>482</v>
      </c>
      <c r="M198">
        <v>478</v>
      </c>
      <c r="N198">
        <v>91</v>
      </c>
      <c r="O198" s="2" t="s">
        <v>28</v>
      </c>
      <c r="P198">
        <v>384</v>
      </c>
      <c r="Q198">
        <v>0</v>
      </c>
      <c r="R198" s="97"/>
      <c r="S198" s="2"/>
    </row>
    <row r="199" spans="1:19" x14ac:dyDescent="0.25">
      <c r="A199" s="96" t="str">
        <f t="shared" si="3"/>
        <v>TasmaniaCancellations/withdrawals440751st revision</v>
      </c>
      <c r="B199" s="3">
        <v>198</v>
      </c>
      <c r="C199" s="2" t="s">
        <v>7</v>
      </c>
      <c r="D199" s="2" t="s">
        <v>77</v>
      </c>
      <c r="E199">
        <v>2021.1</v>
      </c>
      <c r="F199">
        <v>107</v>
      </c>
      <c r="G199" s="70">
        <v>44075</v>
      </c>
      <c r="H199">
        <v>447</v>
      </c>
      <c r="I199">
        <v>0</v>
      </c>
      <c r="J199" s="2" t="s">
        <v>0</v>
      </c>
      <c r="K199">
        <v>428</v>
      </c>
      <c r="L199">
        <v>466</v>
      </c>
      <c r="M199">
        <v>478</v>
      </c>
      <c r="N199">
        <v>93.5</v>
      </c>
      <c r="O199" s="2" t="s">
        <v>28</v>
      </c>
      <c r="P199">
        <v>422</v>
      </c>
      <c r="Q199">
        <v>0</v>
      </c>
      <c r="R199" s="97"/>
      <c r="S199" s="2"/>
    </row>
    <row r="200" spans="1:19" x14ac:dyDescent="0.25">
      <c r="A200" s="96" t="str">
        <f t="shared" si="3"/>
        <v>TasmaniaCancellations/withdrawals44166Initial</v>
      </c>
      <c r="B200" s="3">
        <v>199</v>
      </c>
      <c r="C200" s="2" t="s">
        <v>7</v>
      </c>
      <c r="D200" s="2" t="s">
        <v>77</v>
      </c>
      <c r="E200">
        <v>2021.2</v>
      </c>
      <c r="F200">
        <v>107</v>
      </c>
      <c r="G200" s="70">
        <v>44166</v>
      </c>
      <c r="H200">
        <v>495</v>
      </c>
      <c r="I200">
        <v>0</v>
      </c>
      <c r="J200" s="2" t="s">
        <v>31</v>
      </c>
      <c r="K200">
        <v>420</v>
      </c>
      <c r="L200">
        <v>570</v>
      </c>
      <c r="M200">
        <v>597</v>
      </c>
      <c r="N200">
        <v>82.9</v>
      </c>
      <c r="O200" s="2" t="s">
        <v>27</v>
      </c>
      <c r="P200">
        <v>433</v>
      </c>
      <c r="Q200">
        <v>0</v>
      </c>
      <c r="R200" s="97"/>
      <c r="S200" s="2"/>
    </row>
    <row r="201" spans="1:19" x14ac:dyDescent="0.25">
      <c r="A201" s="96" t="str">
        <f t="shared" si="3"/>
        <v>TasmaniaCancellations/withdrawals441661st revision</v>
      </c>
      <c r="B201" s="3">
        <v>200</v>
      </c>
      <c r="C201" s="2" t="s">
        <v>7</v>
      </c>
      <c r="D201" s="2" t="s">
        <v>77</v>
      </c>
      <c r="E201">
        <v>2021.2</v>
      </c>
      <c r="F201">
        <v>108</v>
      </c>
      <c r="G201" s="70">
        <v>44166</v>
      </c>
      <c r="H201">
        <v>567</v>
      </c>
      <c r="I201">
        <v>0</v>
      </c>
      <c r="J201" s="2" t="s">
        <v>0</v>
      </c>
      <c r="K201">
        <v>542</v>
      </c>
      <c r="L201">
        <v>592</v>
      </c>
      <c r="M201">
        <v>597</v>
      </c>
      <c r="N201">
        <v>95</v>
      </c>
      <c r="O201" s="2" t="s">
        <v>27</v>
      </c>
      <c r="P201">
        <v>535</v>
      </c>
      <c r="Q201">
        <v>0</v>
      </c>
      <c r="R201" s="97"/>
      <c r="S201" s="2"/>
    </row>
    <row r="202" spans="1:19" x14ac:dyDescent="0.25">
      <c r="A202" s="96" t="str">
        <f t="shared" si="3"/>
        <v>TasmaniaCommencements44256Initial</v>
      </c>
      <c r="B202" s="3">
        <v>201</v>
      </c>
      <c r="C202" s="2" t="s">
        <v>7</v>
      </c>
      <c r="D202" s="2" t="s">
        <v>78</v>
      </c>
      <c r="E202">
        <v>2021.3</v>
      </c>
      <c r="F202">
        <v>108</v>
      </c>
      <c r="G202" s="70">
        <v>44256</v>
      </c>
      <c r="H202">
        <v>2034</v>
      </c>
      <c r="I202">
        <v>0</v>
      </c>
      <c r="J202" s="2" t="s">
        <v>31</v>
      </c>
      <c r="K202">
        <v>1952</v>
      </c>
      <c r="L202">
        <v>2116</v>
      </c>
      <c r="M202">
        <v>2040</v>
      </c>
      <c r="N202">
        <v>99.7</v>
      </c>
      <c r="O202" s="2" t="s">
        <v>28</v>
      </c>
      <c r="P202">
        <v>2017</v>
      </c>
      <c r="Q202">
        <v>0</v>
      </c>
      <c r="R202" s="97"/>
      <c r="S202" s="2"/>
    </row>
    <row r="203" spans="1:19" x14ac:dyDescent="0.25">
      <c r="A203" s="96" t="str">
        <f t="shared" si="3"/>
        <v>TasmaniaCommencements442561st revision</v>
      </c>
      <c r="B203" s="3">
        <v>202</v>
      </c>
      <c r="C203" s="2" t="s">
        <v>7</v>
      </c>
      <c r="D203" s="2" t="s">
        <v>78</v>
      </c>
      <c r="E203">
        <v>2021.3</v>
      </c>
      <c r="F203">
        <v>109</v>
      </c>
      <c r="G203" s="70">
        <v>44256</v>
      </c>
      <c r="H203">
        <v>2039</v>
      </c>
      <c r="I203">
        <v>0</v>
      </c>
      <c r="J203" s="2" t="s">
        <v>0</v>
      </c>
      <c r="K203">
        <v>2022</v>
      </c>
      <c r="L203">
        <v>2056</v>
      </c>
      <c r="M203">
        <v>2040</v>
      </c>
      <c r="N203">
        <v>100</v>
      </c>
      <c r="O203" s="2" t="s">
        <v>28</v>
      </c>
      <c r="P203">
        <v>2035</v>
      </c>
      <c r="Q203">
        <v>0</v>
      </c>
      <c r="R203" s="97"/>
      <c r="S203" s="2"/>
    </row>
    <row r="204" spans="1:19" x14ac:dyDescent="0.25">
      <c r="A204" s="96" t="str">
        <f t="shared" si="3"/>
        <v>TasmaniaCommencements44348Initial</v>
      </c>
      <c r="B204" s="3">
        <v>203</v>
      </c>
      <c r="C204" s="2" t="s">
        <v>7</v>
      </c>
      <c r="D204" s="2" t="s">
        <v>78</v>
      </c>
      <c r="E204">
        <v>2021.4</v>
      </c>
      <c r="F204">
        <v>109</v>
      </c>
      <c r="G204" s="70">
        <v>44348</v>
      </c>
      <c r="H204">
        <v>1781</v>
      </c>
      <c r="I204">
        <v>0</v>
      </c>
      <c r="J204" s="2" t="s">
        <v>31</v>
      </c>
      <c r="K204">
        <v>1709</v>
      </c>
      <c r="L204">
        <v>1853</v>
      </c>
      <c r="M204">
        <v>1794</v>
      </c>
      <c r="N204">
        <v>99.3</v>
      </c>
      <c r="O204" s="2" t="s">
        <v>28</v>
      </c>
      <c r="P204">
        <v>1766</v>
      </c>
      <c r="Q204">
        <v>0</v>
      </c>
      <c r="R204" s="97"/>
      <c r="S204" s="2"/>
    </row>
    <row r="205" spans="1:19" x14ac:dyDescent="0.25">
      <c r="A205" s="96" t="str">
        <f t="shared" si="3"/>
        <v>TasmaniaCommencements443481st revision</v>
      </c>
      <c r="B205" s="3">
        <v>204</v>
      </c>
      <c r="C205" s="2" t="s">
        <v>7</v>
      </c>
      <c r="D205" s="2" t="s">
        <v>78</v>
      </c>
      <c r="E205">
        <v>2021.4</v>
      </c>
      <c r="F205">
        <v>110</v>
      </c>
      <c r="G205" s="70">
        <v>44348</v>
      </c>
      <c r="H205">
        <v>1792</v>
      </c>
      <c r="I205">
        <v>0</v>
      </c>
      <c r="J205" s="2" t="s">
        <v>0</v>
      </c>
      <c r="K205">
        <v>1789</v>
      </c>
      <c r="L205">
        <v>1795</v>
      </c>
      <c r="M205">
        <v>1794</v>
      </c>
      <c r="N205">
        <v>99.9</v>
      </c>
      <c r="O205" s="2" t="s">
        <v>28</v>
      </c>
      <c r="P205">
        <v>1790</v>
      </c>
      <c r="Q205">
        <v>0</v>
      </c>
      <c r="R205" s="97"/>
      <c r="S205" s="2"/>
    </row>
    <row r="206" spans="1:19" x14ac:dyDescent="0.25">
      <c r="A206" s="96" t="str">
        <f t="shared" si="3"/>
        <v>TasmaniaCommencements44440Initial</v>
      </c>
      <c r="B206" s="3">
        <v>205</v>
      </c>
      <c r="C206" s="2" t="s">
        <v>7</v>
      </c>
      <c r="D206" s="2" t="s">
        <v>78</v>
      </c>
      <c r="E206">
        <v>2022.1</v>
      </c>
      <c r="F206">
        <v>110</v>
      </c>
      <c r="G206" s="70">
        <v>44440</v>
      </c>
      <c r="H206">
        <v>1840</v>
      </c>
      <c r="I206">
        <v>0</v>
      </c>
      <c r="J206" s="2" t="s">
        <v>31</v>
      </c>
      <c r="K206">
        <v>1826</v>
      </c>
      <c r="L206">
        <v>1854</v>
      </c>
      <c r="M206">
        <v>1850</v>
      </c>
      <c r="N206">
        <v>99.5</v>
      </c>
      <c r="O206" s="2" t="s">
        <v>28</v>
      </c>
      <c r="P206">
        <v>1835</v>
      </c>
      <c r="Q206">
        <v>0</v>
      </c>
      <c r="R206" s="97"/>
      <c r="S206" s="2"/>
    </row>
    <row r="207" spans="1:19" x14ac:dyDescent="0.25">
      <c r="A207" s="96" t="str">
        <f t="shared" si="3"/>
        <v>TasmaniaCommencements444401st revision</v>
      </c>
      <c r="B207" s="3">
        <v>206</v>
      </c>
      <c r="C207" s="2" t="s">
        <v>7</v>
      </c>
      <c r="D207" s="2" t="s">
        <v>78</v>
      </c>
      <c r="E207">
        <v>2022.1</v>
      </c>
      <c r="F207">
        <v>111</v>
      </c>
      <c r="G207" s="70">
        <v>44440</v>
      </c>
      <c r="H207">
        <v>1848</v>
      </c>
      <c r="I207">
        <v>0</v>
      </c>
      <c r="J207" s="2" t="s">
        <v>0</v>
      </c>
      <c r="K207">
        <v>1845</v>
      </c>
      <c r="L207">
        <v>1851</v>
      </c>
      <c r="M207">
        <v>1850</v>
      </c>
      <c r="N207">
        <v>99.9</v>
      </c>
      <c r="O207" s="2" t="s">
        <v>28</v>
      </c>
      <c r="P207">
        <v>1846</v>
      </c>
      <c r="Q207">
        <v>0</v>
      </c>
      <c r="R207" s="97"/>
      <c r="S207" s="2"/>
    </row>
    <row r="208" spans="1:19" x14ac:dyDescent="0.25">
      <c r="A208" s="96" t="str">
        <f t="shared" si="3"/>
        <v>TasmaniaCommencements44531Initial</v>
      </c>
      <c r="B208" s="3">
        <v>207</v>
      </c>
      <c r="C208" s="2" t="s">
        <v>7</v>
      </c>
      <c r="D208" s="2" t="s">
        <v>78</v>
      </c>
      <c r="E208">
        <v>2022.2</v>
      </c>
      <c r="F208">
        <v>111</v>
      </c>
      <c r="G208" s="70">
        <v>44531</v>
      </c>
      <c r="H208">
        <v>1729</v>
      </c>
      <c r="I208">
        <v>0</v>
      </c>
      <c r="J208" s="2" t="s">
        <v>31</v>
      </c>
      <c r="K208">
        <v>1699</v>
      </c>
      <c r="L208">
        <v>1759</v>
      </c>
      <c r="M208">
        <v>1746</v>
      </c>
      <c r="N208">
        <v>99</v>
      </c>
      <c r="O208" s="2" t="s">
        <v>28</v>
      </c>
      <c r="P208">
        <v>1721</v>
      </c>
      <c r="Q208">
        <v>0</v>
      </c>
      <c r="R208" s="97"/>
      <c r="S208" s="2"/>
    </row>
    <row r="209" spans="1:19" x14ac:dyDescent="0.25">
      <c r="A209" s="96" t="str">
        <f t="shared" si="3"/>
        <v>TasmaniaCommencements445311st revision</v>
      </c>
      <c r="B209" s="3">
        <v>208</v>
      </c>
      <c r="C209" s="2" t="s">
        <v>7</v>
      </c>
      <c r="D209" s="2" t="s">
        <v>78</v>
      </c>
      <c r="E209">
        <v>2022.2</v>
      </c>
      <c r="F209">
        <v>112</v>
      </c>
      <c r="G209" s="70">
        <v>44531</v>
      </c>
      <c r="H209">
        <v>1739</v>
      </c>
      <c r="I209">
        <v>0</v>
      </c>
      <c r="J209" s="2" t="s">
        <v>0</v>
      </c>
      <c r="K209">
        <v>1736</v>
      </c>
      <c r="L209">
        <v>1742</v>
      </c>
      <c r="M209">
        <v>1746</v>
      </c>
      <c r="N209">
        <v>99.6</v>
      </c>
      <c r="O209" s="2" t="s">
        <v>28</v>
      </c>
      <c r="P209">
        <v>1736</v>
      </c>
      <c r="Q209">
        <v>0</v>
      </c>
      <c r="R209" s="97"/>
      <c r="S209" s="2"/>
    </row>
    <row r="210" spans="1:19" x14ac:dyDescent="0.25">
      <c r="A210" s="96" t="str">
        <f t="shared" si="3"/>
        <v>TasmaniaCompletions44256Initial</v>
      </c>
      <c r="B210" s="3">
        <v>209</v>
      </c>
      <c r="C210" s="2" t="s">
        <v>7</v>
      </c>
      <c r="D210" s="2" t="s">
        <v>79</v>
      </c>
      <c r="E210">
        <v>2021.3</v>
      </c>
      <c r="F210">
        <v>108</v>
      </c>
      <c r="G210" s="70">
        <v>44256</v>
      </c>
      <c r="H210">
        <v>681</v>
      </c>
      <c r="I210">
        <v>0</v>
      </c>
      <c r="J210" s="2" t="s">
        <v>31</v>
      </c>
      <c r="K210">
        <v>622</v>
      </c>
      <c r="L210">
        <v>740</v>
      </c>
      <c r="M210">
        <v>664</v>
      </c>
      <c r="N210">
        <v>102.6</v>
      </c>
      <c r="O210" s="2" t="s">
        <v>28</v>
      </c>
      <c r="P210">
        <v>649</v>
      </c>
      <c r="Q210">
        <v>0</v>
      </c>
      <c r="R210" s="97"/>
      <c r="S210" s="2"/>
    </row>
    <row r="211" spans="1:19" x14ac:dyDescent="0.25">
      <c r="A211" s="96" t="str">
        <f t="shared" si="3"/>
        <v>TasmaniaCompletions442561st revision</v>
      </c>
      <c r="B211" s="3">
        <v>210</v>
      </c>
      <c r="C211" s="2" t="s">
        <v>7</v>
      </c>
      <c r="D211" s="2" t="s">
        <v>79</v>
      </c>
      <c r="E211">
        <v>2021.3</v>
      </c>
      <c r="F211">
        <v>109</v>
      </c>
      <c r="G211" s="70">
        <v>44256</v>
      </c>
      <c r="H211">
        <v>672</v>
      </c>
      <c r="I211">
        <v>0</v>
      </c>
      <c r="J211" s="2" t="s">
        <v>0</v>
      </c>
      <c r="K211">
        <v>633</v>
      </c>
      <c r="L211">
        <v>711</v>
      </c>
      <c r="M211">
        <v>664</v>
      </c>
      <c r="N211">
        <v>101.2</v>
      </c>
      <c r="O211" s="2" t="s">
        <v>28</v>
      </c>
      <c r="P211">
        <v>659</v>
      </c>
      <c r="Q211">
        <v>0</v>
      </c>
      <c r="R211" s="97"/>
      <c r="S211" s="2"/>
    </row>
    <row r="212" spans="1:19" x14ac:dyDescent="0.25">
      <c r="A212" s="96" t="str">
        <f t="shared" si="3"/>
        <v>TasmaniaCompletions44348Initial</v>
      </c>
      <c r="B212" s="3">
        <v>211</v>
      </c>
      <c r="C212" s="2" t="s">
        <v>7</v>
      </c>
      <c r="D212" s="2" t="s">
        <v>79</v>
      </c>
      <c r="E212">
        <v>2021.4</v>
      </c>
      <c r="F212">
        <v>109</v>
      </c>
      <c r="G212" s="70">
        <v>44348</v>
      </c>
      <c r="H212">
        <v>768</v>
      </c>
      <c r="I212">
        <v>0</v>
      </c>
      <c r="J212" s="2" t="s">
        <v>31</v>
      </c>
      <c r="K212">
        <v>697</v>
      </c>
      <c r="L212">
        <v>839</v>
      </c>
      <c r="M212">
        <v>745</v>
      </c>
      <c r="N212">
        <v>103.1</v>
      </c>
      <c r="O212" s="2" t="s">
        <v>28</v>
      </c>
      <c r="P212">
        <v>732</v>
      </c>
      <c r="Q212">
        <v>0</v>
      </c>
      <c r="R212" s="97"/>
      <c r="S212" s="2"/>
    </row>
    <row r="213" spans="1:19" x14ac:dyDescent="0.25">
      <c r="A213" s="96" t="str">
        <f t="shared" si="3"/>
        <v>TasmaniaCompletions443481st revision</v>
      </c>
      <c r="B213" s="3">
        <v>212</v>
      </c>
      <c r="C213" s="2" t="s">
        <v>7</v>
      </c>
      <c r="D213" s="2" t="s">
        <v>79</v>
      </c>
      <c r="E213">
        <v>2021.4</v>
      </c>
      <c r="F213">
        <v>110</v>
      </c>
      <c r="G213" s="70">
        <v>44348</v>
      </c>
      <c r="H213">
        <v>757</v>
      </c>
      <c r="I213">
        <v>0</v>
      </c>
      <c r="J213" s="2" t="s">
        <v>0</v>
      </c>
      <c r="K213">
        <v>714</v>
      </c>
      <c r="L213">
        <v>800</v>
      </c>
      <c r="M213">
        <v>745</v>
      </c>
      <c r="N213">
        <v>101.6</v>
      </c>
      <c r="O213" s="2" t="s">
        <v>28</v>
      </c>
      <c r="P213">
        <v>742</v>
      </c>
      <c r="Q213">
        <v>0</v>
      </c>
      <c r="R213" s="97"/>
      <c r="S213" s="2"/>
    </row>
    <row r="214" spans="1:19" x14ac:dyDescent="0.25">
      <c r="A214" s="96" t="str">
        <f t="shared" si="3"/>
        <v>TasmaniaCompletions44440Initial</v>
      </c>
      <c r="B214" s="3">
        <v>213</v>
      </c>
      <c r="C214" s="2" t="s">
        <v>7</v>
      </c>
      <c r="D214" s="2" t="s">
        <v>79</v>
      </c>
      <c r="E214">
        <v>2022.1</v>
      </c>
      <c r="F214">
        <v>110</v>
      </c>
      <c r="G214" s="70">
        <v>44440</v>
      </c>
      <c r="H214">
        <v>795</v>
      </c>
      <c r="I214">
        <v>0</v>
      </c>
      <c r="J214" s="2" t="s">
        <v>31</v>
      </c>
      <c r="K214">
        <v>741</v>
      </c>
      <c r="L214">
        <v>849</v>
      </c>
      <c r="M214">
        <v>776</v>
      </c>
      <c r="N214">
        <v>102.4</v>
      </c>
      <c r="O214" s="2" t="s">
        <v>28</v>
      </c>
      <c r="P214">
        <v>767</v>
      </c>
      <c r="Q214">
        <v>0</v>
      </c>
      <c r="R214" s="97"/>
      <c r="S214" s="2"/>
    </row>
    <row r="215" spans="1:19" x14ac:dyDescent="0.25">
      <c r="A215" s="96" t="str">
        <f t="shared" si="3"/>
        <v>TasmaniaCompletions444401st revision</v>
      </c>
      <c r="B215" s="3">
        <v>214</v>
      </c>
      <c r="C215" s="2" t="s">
        <v>7</v>
      </c>
      <c r="D215" s="2" t="s">
        <v>79</v>
      </c>
      <c r="E215">
        <v>2022.1</v>
      </c>
      <c r="F215">
        <v>111</v>
      </c>
      <c r="G215" s="70">
        <v>44440</v>
      </c>
      <c r="H215">
        <v>780</v>
      </c>
      <c r="I215">
        <v>0</v>
      </c>
      <c r="J215" s="2" t="s">
        <v>0</v>
      </c>
      <c r="K215">
        <v>753</v>
      </c>
      <c r="L215">
        <v>807</v>
      </c>
      <c r="M215">
        <v>776</v>
      </c>
      <c r="N215">
        <v>100.5</v>
      </c>
      <c r="O215" s="2" t="s">
        <v>28</v>
      </c>
      <c r="P215">
        <v>770</v>
      </c>
      <c r="Q215">
        <v>0</v>
      </c>
      <c r="R215" s="97"/>
      <c r="S215" s="2"/>
    </row>
    <row r="216" spans="1:19" x14ac:dyDescent="0.25">
      <c r="A216" s="96" t="str">
        <f t="shared" si="3"/>
        <v>TasmaniaCompletions44531Initial</v>
      </c>
      <c r="B216" s="3">
        <v>215</v>
      </c>
      <c r="C216" s="2" t="s">
        <v>7</v>
      </c>
      <c r="D216" s="2" t="s">
        <v>79</v>
      </c>
      <c r="E216">
        <v>2022.2</v>
      </c>
      <c r="F216">
        <v>111</v>
      </c>
      <c r="G216" s="70">
        <v>44531</v>
      </c>
      <c r="H216">
        <v>1146</v>
      </c>
      <c r="I216">
        <v>0</v>
      </c>
      <c r="J216" s="2" t="s">
        <v>31</v>
      </c>
      <c r="K216">
        <v>1078</v>
      </c>
      <c r="L216">
        <v>1214</v>
      </c>
      <c r="M216">
        <v>1132</v>
      </c>
      <c r="N216">
        <v>101.2</v>
      </c>
      <c r="O216" s="2" t="s">
        <v>28</v>
      </c>
      <c r="P216">
        <v>1113</v>
      </c>
      <c r="Q216">
        <v>0</v>
      </c>
      <c r="R216" s="97"/>
      <c r="S216" s="2"/>
    </row>
    <row r="217" spans="1:19" x14ac:dyDescent="0.25">
      <c r="A217" s="96" t="str">
        <f t="shared" si="3"/>
        <v>TasmaniaCompletions445311st revision</v>
      </c>
      <c r="B217" s="3">
        <v>216</v>
      </c>
      <c r="C217" s="2" t="s">
        <v>7</v>
      </c>
      <c r="D217" s="2" t="s">
        <v>79</v>
      </c>
      <c r="E217">
        <v>2022.2</v>
      </c>
      <c r="F217">
        <v>112</v>
      </c>
      <c r="G217" s="70">
        <v>44531</v>
      </c>
      <c r="H217">
        <v>1129</v>
      </c>
      <c r="I217">
        <v>0</v>
      </c>
      <c r="J217" s="2" t="s">
        <v>0</v>
      </c>
      <c r="K217">
        <v>1113</v>
      </c>
      <c r="L217">
        <v>1145</v>
      </c>
      <c r="M217">
        <v>1132</v>
      </c>
      <c r="N217">
        <v>99.7</v>
      </c>
      <c r="O217" s="2" t="s">
        <v>28</v>
      </c>
      <c r="P217">
        <v>1120</v>
      </c>
      <c r="Q217">
        <v>0</v>
      </c>
      <c r="R217" s="97"/>
      <c r="S217" s="2"/>
    </row>
    <row r="218" spans="1:19" x14ac:dyDescent="0.25">
      <c r="A218" s="96" t="str">
        <f t="shared" si="3"/>
        <v>TasmaniaIn-training43891Initial</v>
      </c>
      <c r="B218" s="3">
        <v>217</v>
      </c>
      <c r="C218" s="2" t="s">
        <v>7</v>
      </c>
      <c r="D218" s="2" t="s">
        <v>80</v>
      </c>
      <c r="E218">
        <v>2020.3</v>
      </c>
      <c r="F218">
        <v>104</v>
      </c>
      <c r="G218" s="70">
        <v>43891</v>
      </c>
      <c r="H218">
        <v>9111</v>
      </c>
      <c r="I218">
        <v>0</v>
      </c>
      <c r="J218" s="2" t="s">
        <v>31</v>
      </c>
      <c r="K218">
        <v>8976</v>
      </c>
      <c r="L218">
        <v>9246</v>
      </c>
      <c r="M218">
        <v>8948</v>
      </c>
      <c r="N218">
        <v>101.8</v>
      </c>
      <c r="O218" s="2" t="s">
        <v>27</v>
      </c>
      <c r="P218">
        <v>9101</v>
      </c>
      <c r="Q218">
        <v>0</v>
      </c>
      <c r="R218" s="97"/>
      <c r="S218" s="2"/>
    </row>
    <row r="219" spans="1:19" x14ac:dyDescent="0.25">
      <c r="A219" s="96" t="str">
        <f t="shared" si="3"/>
        <v>TasmaniaIn-training438911st revision</v>
      </c>
      <c r="B219" s="3">
        <v>218</v>
      </c>
      <c r="C219" s="2" t="s">
        <v>7</v>
      </c>
      <c r="D219" s="2" t="s">
        <v>80</v>
      </c>
      <c r="E219">
        <v>2020.3</v>
      </c>
      <c r="F219">
        <v>105</v>
      </c>
      <c r="G219" s="70">
        <v>43891</v>
      </c>
      <c r="H219">
        <v>9095</v>
      </c>
      <c r="I219">
        <v>0</v>
      </c>
      <c r="J219" s="2" t="s">
        <v>0</v>
      </c>
      <c r="K219">
        <v>9005</v>
      </c>
      <c r="L219">
        <v>9185</v>
      </c>
      <c r="M219">
        <v>8948</v>
      </c>
      <c r="N219">
        <v>101.6</v>
      </c>
      <c r="O219" s="2" t="s">
        <v>27</v>
      </c>
      <c r="P219">
        <v>9006</v>
      </c>
      <c r="Q219">
        <v>0</v>
      </c>
      <c r="R219" s="97"/>
      <c r="S219" s="2"/>
    </row>
    <row r="220" spans="1:19" x14ac:dyDescent="0.25">
      <c r="A220" s="96" t="str">
        <f t="shared" si="3"/>
        <v>TasmaniaIn-training43983Initial</v>
      </c>
      <c r="B220" s="3">
        <v>219</v>
      </c>
      <c r="C220" s="2" t="s">
        <v>7</v>
      </c>
      <c r="D220" s="2" t="s">
        <v>80</v>
      </c>
      <c r="E220">
        <v>2020.4</v>
      </c>
      <c r="F220">
        <v>105</v>
      </c>
      <c r="G220" s="70">
        <v>43983</v>
      </c>
      <c r="H220">
        <v>8932</v>
      </c>
      <c r="I220">
        <v>0</v>
      </c>
      <c r="J220" s="2" t="s">
        <v>31</v>
      </c>
      <c r="K220">
        <v>8818</v>
      </c>
      <c r="L220">
        <v>9046</v>
      </c>
      <c r="M220">
        <v>8748</v>
      </c>
      <c r="N220">
        <v>102.1</v>
      </c>
      <c r="O220" s="2" t="s">
        <v>27</v>
      </c>
      <c r="P220">
        <v>8853</v>
      </c>
      <c r="Q220">
        <v>0</v>
      </c>
      <c r="R220" s="97"/>
      <c r="S220" s="2"/>
    </row>
    <row r="221" spans="1:19" x14ac:dyDescent="0.25">
      <c r="A221" s="96" t="str">
        <f t="shared" si="3"/>
        <v>TasmaniaIn-training439831st revision</v>
      </c>
      <c r="B221" s="3">
        <v>220</v>
      </c>
      <c r="C221" s="2" t="s">
        <v>7</v>
      </c>
      <c r="D221" s="2" t="s">
        <v>80</v>
      </c>
      <c r="E221">
        <v>2020.4</v>
      </c>
      <c r="F221">
        <v>106</v>
      </c>
      <c r="G221" s="70">
        <v>43983</v>
      </c>
      <c r="H221">
        <v>8940</v>
      </c>
      <c r="I221">
        <v>0</v>
      </c>
      <c r="J221" s="2" t="s">
        <v>0</v>
      </c>
      <c r="K221">
        <v>8850</v>
      </c>
      <c r="L221">
        <v>9030</v>
      </c>
      <c r="M221">
        <v>8748</v>
      </c>
      <c r="N221">
        <v>102.2</v>
      </c>
      <c r="O221" s="2" t="s">
        <v>27</v>
      </c>
      <c r="P221">
        <v>8804</v>
      </c>
      <c r="Q221">
        <v>0</v>
      </c>
      <c r="R221" s="97"/>
      <c r="S221" s="2"/>
    </row>
    <row r="222" spans="1:19" x14ac:dyDescent="0.25">
      <c r="A222" s="96" t="str">
        <f t="shared" si="3"/>
        <v>TasmaniaIn-training44075Initial</v>
      </c>
      <c r="B222" s="3">
        <v>221</v>
      </c>
      <c r="C222" s="2" t="s">
        <v>7</v>
      </c>
      <c r="D222" s="2" t="s">
        <v>80</v>
      </c>
      <c r="E222">
        <v>2021.1</v>
      </c>
      <c r="F222">
        <v>106</v>
      </c>
      <c r="G222" s="70">
        <v>44075</v>
      </c>
      <c r="H222">
        <v>9116</v>
      </c>
      <c r="I222">
        <v>0</v>
      </c>
      <c r="J222" s="2" t="s">
        <v>31</v>
      </c>
      <c r="K222">
        <v>8988</v>
      </c>
      <c r="L222">
        <v>9244</v>
      </c>
      <c r="M222">
        <v>8926</v>
      </c>
      <c r="N222">
        <v>102.1</v>
      </c>
      <c r="O222" s="2" t="s">
        <v>27</v>
      </c>
      <c r="P222">
        <v>9053</v>
      </c>
      <c r="Q222">
        <v>0</v>
      </c>
      <c r="R222" s="97"/>
      <c r="S222" s="2"/>
    </row>
    <row r="223" spans="1:19" x14ac:dyDescent="0.25">
      <c r="A223" s="96" t="str">
        <f t="shared" si="3"/>
        <v>TasmaniaIn-training440751st revision</v>
      </c>
      <c r="B223" s="3">
        <v>222</v>
      </c>
      <c r="C223" s="2" t="s">
        <v>7</v>
      </c>
      <c r="D223" s="2" t="s">
        <v>80</v>
      </c>
      <c r="E223">
        <v>2021.1</v>
      </c>
      <c r="F223">
        <v>107</v>
      </c>
      <c r="G223" s="70">
        <v>44075</v>
      </c>
      <c r="H223">
        <v>9049</v>
      </c>
      <c r="I223">
        <v>0</v>
      </c>
      <c r="J223" s="2" t="s">
        <v>0</v>
      </c>
      <c r="K223">
        <v>8949</v>
      </c>
      <c r="L223">
        <v>9149</v>
      </c>
      <c r="M223">
        <v>8926</v>
      </c>
      <c r="N223">
        <v>101.4</v>
      </c>
      <c r="O223" s="2" t="s">
        <v>27</v>
      </c>
      <c r="P223">
        <v>8987</v>
      </c>
      <c r="Q223">
        <v>0</v>
      </c>
      <c r="R223" s="97"/>
      <c r="S223" s="2"/>
    </row>
    <row r="224" spans="1:19" x14ac:dyDescent="0.25">
      <c r="A224" s="96" t="str">
        <f t="shared" si="3"/>
        <v>TasmaniaIn-training44166Initial</v>
      </c>
      <c r="B224" s="3">
        <v>223</v>
      </c>
      <c r="C224" s="2" t="s">
        <v>7</v>
      </c>
      <c r="D224" s="2" t="s">
        <v>80</v>
      </c>
      <c r="E224">
        <v>2021.2</v>
      </c>
      <c r="F224">
        <v>107</v>
      </c>
      <c r="G224" s="70">
        <v>44166</v>
      </c>
      <c r="H224">
        <v>9888</v>
      </c>
      <c r="I224">
        <v>0</v>
      </c>
      <c r="J224" s="2" t="s">
        <v>31</v>
      </c>
      <c r="K224">
        <v>9715</v>
      </c>
      <c r="L224">
        <v>10061</v>
      </c>
      <c r="M224">
        <v>9750</v>
      </c>
      <c r="N224">
        <v>101.4</v>
      </c>
      <c r="O224" s="2" t="s">
        <v>28</v>
      </c>
      <c r="P224">
        <v>9917</v>
      </c>
      <c r="Q224">
        <v>0</v>
      </c>
      <c r="R224" s="97"/>
      <c r="S224" s="2"/>
    </row>
    <row r="225" spans="1:19" x14ac:dyDescent="0.25">
      <c r="A225" s="96" t="str">
        <f t="shared" si="3"/>
        <v>TasmaniaIn-training441661st revision</v>
      </c>
      <c r="B225" s="3">
        <v>224</v>
      </c>
      <c r="C225" s="2" t="s">
        <v>7</v>
      </c>
      <c r="D225" s="2" t="s">
        <v>80</v>
      </c>
      <c r="E225">
        <v>2021.2</v>
      </c>
      <c r="F225">
        <v>108</v>
      </c>
      <c r="G225" s="70">
        <v>44166</v>
      </c>
      <c r="H225">
        <v>9796</v>
      </c>
      <c r="I225">
        <v>0</v>
      </c>
      <c r="J225" s="2" t="s">
        <v>0</v>
      </c>
      <c r="K225">
        <v>9659</v>
      </c>
      <c r="L225">
        <v>9933</v>
      </c>
      <c r="M225">
        <v>9750</v>
      </c>
      <c r="N225">
        <v>100.5</v>
      </c>
      <c r="O225" s="2" t="s">
        <v>28</v>
      </c>
      <c r="P225">
        <v>9850</v>
      </c>
      <c r="Q225">
        <v>0</v>
      </c>
      <c r="R225" s="97"/>
      <c r="S225" s="2"/>
    </row>
    <row r="226" spans="1:19" x14ac:dyDescent="0.25">
      <c r="A226" s="96" t="str">
        <f t="shared" si="3"/>
        <v>VictoriaCancellations/withdrawals43891Initial</v>
      </c>
      <c r="B226" s="3">
        <v>225</v>
      </c>
      <c r="C226" s="2" t="s">
        <v>8</v>
      </c>
      <c r="D226" s="2" t="s">
        <v>77</v>
      </c>
      <c r="E226">
        <v>2020.3</v>
      </c>
      <c r="F226">
        <v>104</v>
      </c>
      <c r="G226" s="70">
        <v>43891</v>
      </c>
      <c r="H226">
        <v>4646</v>
      </c>
      <c r="I226">
        <v>0</v>
      </c>
      <c r="J226" s="2" t="s">
        <v>31</v>
      </c>
      <c r="K226">
        <v>4167</v>
      </c>
      <c r="L226">
        <v>5125</v>
      </c>
      <c r="M226">
        <v>5114</v>
      </c>
      <c r="N226">
        <v>90.8</v>
      </c>
      <c r="O226" s="2" t="s">
        <v>28</v>
      </c>
      <c r="P226">
        <v>3545</v>
      </c>
      <c r="Q226">
        <v>0</v>
      </c>
      <c r="R226" s="97"/>
      <c r="S226" s="2"/>
    </row>
    <row r="227" spans="1:19" x14ac:dyDescent="0.25">
      <c r="A227" s="96" t="str">
        <f t="shared" si="3"/>
        <v>VictoriaCancellations/withdrawals438911st revision</v>
      </c>
      <c r="B227" s="3">
        <v>226</v>
      </c>
      <c r="C227" s="2" t="s">
        <v>8</v>
      </c>
      <c r="D227" s="2" t="s">
        <v>77</v>
      </c>
      <c r="E227">
        <v>2020.3</v>
      </c>
      <c r="F227">
        <v>105</v>
      </c>
      <c r="G227" s="70">
        <v>43891</v>
      </c>
      <c r="H227">
        <v>4940</v>
      </c>
      <c r="I227">
        <v>0</v>
      </c>
      <c r="J227" s="2" t="s">
        <v>0</v>
      </c>
      <c r="K227">
        <v>4567</v>
      </c>
      <c r="L227">
        <v>5313</v>
      </c>
      <c r="M227">
        <v>5114</v>
      </c>
      <c r="N227">
        <v>96.6</v>
      </c>
      <c r="O227" s="2" t="s">
        <v>28</v>
      </c>
      <c r="P227">
        <v>4320</v>
      </c>
      <c r="Q227">
        <v>0</v>
      </c>
      <c r="R227" s="97"/>
      <c r="S227" s="2"/>
    </row>
    <row r="228" spans="1:19" x14ac:dyDescent="0.25">
      <c r="A228" s="96" t="str">
        <f t="shared" si="3"/>
        <v>VictoriaCancellations/withdrawals43983Initial</v>
      </c>
      <c r="B228" s="3">
        <v>227</v>
      </c>
      <c r="C228" s="2" t="s">
        <v>8</v>
      </c>
      <c r="D228" s="2" t="s">
        <v>77</v>
      </c>
      <c r="E228">
        <v>2020.4</v>
      </c>
      <c r="F228">
        <v>105</v>
      </c>
      <c r="G228" s="70">
        <v>43983</v>
      </c>
      <c r="H228">
        <v>2995</v>
      </c>
      <c r="I228">
        <v>0</v>
      </c>
      <c r="J228" s="2" t="s">
        <v>31</v>
      </c>
      <c r="K228">
        <v>2657</v>
      </c>
      <c r="L228">
        <v>3333</v>
      </c>
      <c r="M228">
        <v>3219</v>
      </c>
      <c r="N228">
        <v>93</v>
      </c>
      <c r="O228" s="2" t="s">
        <v>28</v>
      </c>
      <c r="P228">
        <v>2315</v>
      </c>
      <c r="Q228">
        <v>0</v>
      </c>
      <c r="R228" s="97"/>
      <c r="S228" s="2"/>
    </row>
    <row r="229" spans="1:19" x14ac:dyDescent="0.25">
      <c r="A229" s="96" t="str">
        <f t="shared" si="3"/>
        <v>VictoriaCancellations/withdrawals439831st revision</v>
      </c>
      <c r="B229" s="3">
        <v>228</v>
      </c>
      <c r="C229" s="2" t="s">
        <v>8</v>
      </c>
      <c r="D229" s="2" t="s">
        <v>77</v>
      </c>
      <c r="E229">
        <v>2020.4</v>
      </c>
      <c r="F229">
        <v>106</v>
      </c>
      <c r="G229" s="70">
        <v>43983</v>
      </c>
      <c r="H229">
        <v>3133</v>
      </c>
      <c r="I229">
        <v>0</v>
      </c>
      <c r="J229" s="2" t="s">
        <v>0</v>
      </c>
      <c r="K229">
        <v>2994</v>
      </c>
      <c r="L229">
        <v>3272</v>
      </c>
      <c r="M229">
        <v>3219</v>
      </c>
      <c r="N229">
        <v>97.3</v>
      </c>
      <c r="O229" s="2" t="s">
        <v>28</v>
      </c>
      <c r="P229">
        <v>2761</v>
      </c>
      <c r="Q229">
        <v>0</v>
      </c>
      <c r="R229" s="97"/>
      <c r="S229" s="2"/>
    </row>
    <row r="230" spans="1:19" x14ac:dyDescent="0.25">
      <c r="A230" s="96" t="str">
        <f t="shared" si="3"/>
        <v>VictoriaCancellations/withdrawals44075Initial</v>
      </c>
      <c r="B230" s="3">
        <v>229</v>
      </c>
      <c r="C230" s="2" t="s">
        <v>8</v>
      </c>
      <c r="D230" s="2" t="s">
        <v>77</v>
      </c>
      <c r="E230">
        <v>2021.1</v>
      </c>
      <c r="F230">
        <v>106</v>
      </c>
      <c r="G230" s="70">
        <v>44075</v>
      </c>
      <c r="H230">
        <v>2984</v>
      </c>
      <c r="I230">
        <v>0</v>
      </c>
      <c r="J230" s="2" t="s">
        <v>31</v>
      </c>
      <c r="K230">
        <v>2686</v>
      </c>
      <c r="L230">
        <v>3282</v>
      </c>
      <c r="M230">
        <v>3039</v>
      </c>
      <c r="N230">
        <v>98.2</v>
      </c>
      <c r="O230" s="2" t="s">
        <v>28</v>
      </c>
      <c r="P230">
        <v>2327</v>
      </c>
      <c r="Q230">
        <v>0</v>
      </c>
      <c r="R230" s="97"/>
      <c r="S230" s="2"/>
    </row>
    <row r="231" spans="1:19" x14ac:dyDescent="0.25">
      <c r="A231" s="96" t="str">
        <f t="shared" si="3"/>
        <v>VictoriaCancellations/withdrawals440751st revision</v>
      </c>
      <c r="B231" s="3">
        <v>230</v>
      </c>
      <c r="C231" s="2" t="s">
        <v>8</v>
      </c>
      <c r="D231" s="2" t="s">
        <v>77</v>
      </c>
      <c r="E231">
        <v>2021.1</v>
      </c>
      <c r="F231">
        <v>107</v>
      </c>
      <c r="G231" s="70">
        <v>44075</v>
      </c>
      <c r="H231">
        <v>2956</v>
      </c>
      <c r="I231">
        <v>0</v>
      </c>
      <c r="J231" s="2" t="s">
        <v>0</v>
      </c>
      <c r="K231">
        <v>2868</v>
      </c>
      <c r="L231">
        <v>3044</v>
      </c>
      <c r="M231">
        <v>3039</v>
      </c>
      <c r="N231">
        <v>97.3</v>
      </c>
      <c r="O231" s="2" t="s">
        <v>28</v>
      </c>
      <c r="P231">
        <v>2617</v>
      </c>
      <c r="Q231">
        <v>0</v>
      </c>
      <c r="R231" s="97"/>
      <c r="S231" s="2"/>
    </row>
    <row r="232" spans="1:19" x14ac:dyDescent="0.25">
      <c r="A232" s="96" t="str">
        <f t="shared" si="3"/>
        <v>VictoriaCancellations/withdrawals44166Initial</v>
      </c>
      <c r="B232" s="3">
        <v>231</v>
      </c>
      <c r="C232" s="2" t="s">
        <v>8</v>
      </c>
      <c r="D232" s="2" t="s">
        <v>77</v>
      </c>
      <c r="E232">
        <v>2021.2</v>
      </c>
      <c r="F232">
        <v>107</v>
      </c>
      <c r="G232" s="70">
        <v>44166</v>
      </c>
      <c r="H232">
        <v>3582</v>
      </c>
      <c r="I232">
        <v>0</v>
      </c>
      <c r="J232" s="2" t="s">
        <v>31</v>
      </c>
      <c r="K232">
        <v>3362</v>
      </c>
      <c r="L232">
        <v>3802</v>
      </c>
      <c r="M232">
        <v>4330</v>
      </c>
      <c r="N232">
        <v>82.7</v>
      </c>
      <c r="O232" s="2" t="s">
        <v>27</v>
      </c>
      <c r="P232">
        <v>2815</v>
      </c>
      <c r="Q232">
        <v>0</v>
      </c>
      <c r="R232" s="97"/>
      <c r="S232" s="2"/>
    </row>
    <row r="233" spans="1:19" x14ac:dyDescent="0.25">
      <c r="A233" s="96" t="str">
        <f t="shared" si="3"/>
        <v>VictoriaCancellations/withdrawals441661st revision</v>
      </c>
      <c r="B233" s="3">
        <v>232</v>
      </c>
      <c r="C233" s="2" t="s">
        <v>8</v>
      </c>
      <c r="D233" s="2" t="s">
        <v>77</v>
      </c>
      <c r="E233">
        <v>2021.2</v>
      </c>
      <c r="F233">
        <v>108</v>
      </c>
      <c r="G233" s="70">
        <v>44166</v>
      </c>
      <c r="H233">
        <v>3891</v>
      </c>
      <c r="I233">
        <v>0</v>
      </c>
      <c r="J233" s="2" t="s">
        <v>0</v>
      </c>
      <c r="K233">
        <v>3717</v>
      </c>
      <c r="L233">
        <v>4065</v>
      </c>
      <c r="M233">
        <v>4330</v>
      </c>
      <c r="N233">
        <v>89.9</v>
      </c>
      <c r="O233" s="2" t="s">
        <v>27</v>
      </c>
      <c r="P233">
        <v>3468</v>
      </c>
      <c r="Q233">
        <v>0</v>
      </c>
      <c r="R233" s="97"/>
      <c r="S233" s="2"/>
    </row>
    <row r="234" spans="1:19" x14ac:dyDescent="0.25">
      <c r="A234" s="96" t="str">
        <f t="shared" si="3"/>
        <v>VictoriaCommencements44256Initial</v>
      </c>
      <c r="B234" s="3">
        <v>233</v>
      </c>
      <c r="C234" s="2" t="s">
        <v>8</v>
      </c>
      <c r="D234" s="2" t="s">
        <v>78</v>
      </c>
      <c r="E234">
        <v>2021.3</v>
      </c>
      <c r="F234">
        <v>108</v>
      </c>
      <c r="G234" s="70">
        <v>44256</v>
      </c>
      <c r="H234">
        <v>14389</v>
      </c>
      <c r="I234">
        <v>0</v>
      </c>
      <c r="J234" s="2" t="s">
        <v>31</v>
      </c>
      <c r="K234">
        <v>14199</v>
      </c>
      <c r="L234">
        <v>14579</v>
      </c>
      <c r="M234">
        <v>14700</v>
      </c>
      <c r="N234">
        <v>97.9</v>
      </c>
      <c r="O234" s="2" t="s">
        <v>27</v>
      </c>
      <c r="P234">
        <v>14299</v>
      </c>
      <c r="Q234">
        <v>0</v>
      </c>
      <c r="R234" s="97"/>
      <c r="S234" s="2"/>
    </row>
    <row r="235" spans="1:19" x14ac:dyDescent="0.25">
      <c r="A235" s="96" t="str">
        <f t="shared" si="3"/>
        <v>VictoriaCommencements442561st revision</v>
      </c>
      <c r="B235" s="3">
        <v>234</v>
      </c>
      <c r="C235" s="2" t="s">
        <v>8</v>
      </c>
      <c r="D235" s="2" t="s">
        <v>78</v>
      </c>
      <c r="E235">
        <v>2021.3</v>
      </c>
      <c r="F235">
        <v>109</v>
      </c>
      <c r="G235" s="70">
        <v>44256</v>
      </c>
      <c r="H235">
        <v>14658</v>
      </c>
      <c r="I235">
        <v>0</v>
      </c>
      <c r="J235" s="2" t="s">
        <v>0</v>
      </c>
      <c r="K235">
        <v>14576</v>
      </c>
      <c r="L235">
        <v>14740</v>
      </c>
      <c r="M235">
        <v>14700</v>
      </c>
      <c r="N235">
        <v>99.7</v>
      </c>
      <c r="O235" s="2" t="s">
        <v>27</v>
      </c>
      <c r="P235">
        <v>14629</v>
      </c>
      <c r="Q235">
        <v>0</v>
      </c>
      <c r="R235" s="97"/>
      <c r="S235" s="2"/>
    </row>
    <row r="236" spans="1:19" x14ac:dyDescent="0.25">
      <c r="A236" s="96" t="str">
        <f t="shared" si="3"/>
        <v>VictoriaCommencements44348Initial</v>
      </c>
      <c r="B236" s="3">
        <v>235</v>
      </c>
      <c r="C236" s="2" t="s">
        <v>8</v>
      </c>
      <c r="D236" s="2" t="s">
        <v>78</v>
      </c>
      <c r="E236">
        <v>2021.4</v>
      </c>
      <c r="F236">
        <v>109</v>
      </c>
      <c r="G236" s="70">
        <v>44348</v>
      </c>
      <c r="H236">
        <v>9717</v>
      </c>
      <c r="I236">
        <v>0</v>
      </c>
      <c r="J236" s="2" t="s">
        <v>31</v>
      </c>
      <c r="K236">
        <v>9336</v>
      </c>
      <c r="L236">
        <v>10098</v>
      </c>
      <c r="M236">
        <v>9899</v>
      </c>
      <c r="N236">
        <v>98.2</v>
      </c>
      <c r="O236" s="2" t="s">
        <v>28</v>
      </c>
      <c r="P236">
        <v>9605</v>
      </c>
      <c r="Q236">
        <v>0</v>
      </c>
      <c r="R236" s="97"/>
      <c r="S236" s="2"/>
    </row>
    <row r="237" spans="1:19" x14ac:dyDescent="0.25">
      <c r="A237" s="96" t="str">
        <f t="shared" si="3"/>
        <v>VictoriaCommencements443481st revision</v>
      </c>
      <c r="B237" s="3">
        <v>236</v>
      </c>
      <c r="C237" s="2" t="s">
        <v>8</v>
      </c>
      <c r="D237" s="2" t="s">
        <v>78</v>
      </c>
      <c r="E237">
        <v>2021.4</v>
      </c>
      <c r="F237">
        <v>110</v>
      </c>
      <c r="G237" s="70">
        <v>44348</v>
      </c>
      <c r="H237">
        <v>9865</v>
      </c>
      <c r="I237">
        <v>0</v>
      </c>
      <c r="J237" s="2" t="s">
        <v>0</v>
      </c>
      <c r="K237">
        <v>9809</v>
      </c>
      <c r="L237">
        <v>9921</v>
      </c>
      <c r="M237">
        <v>9899</v>
      </c>
      <c r="N237">
        <v>99.7</v>
      </c>
      <c r="O237" s="2" t="s">
        <v>28</v>
      </c>
      <c r="P237">
        <v>9844</v>
      </c>
      <c r="Q237">
        <v>0</v>
      </c>
      <c r="R237" s="97"/>
      <c r="S237" s="2"/>
    </row>
    <row r="238" spans="1:19" x14ac:dyDescent="0.25">
      <c r="A238" s="96" t="str">
        <f t="shared" si="3"/>
        <v>VictoriaCommencements44440Initial</v>
      </c>
      <c r="B238" s="3">
        <v>237</v>
      </c>
      <c r="C238" s="2" t="s">
        <v>8</v>
      </c>
      <c r="D238" s="2" t="s">
        <v>78</v>
      </c>
      <c r="E238">
        <v>2022.1</v>
      </c>
      <c r="F238">
        <v>110</v>
      </c>
      <c r="G238" s="70">
        <v>44440</v>
      </c>
      <c r="H238">
        <v>9562</v>
      </c>
      <c r="I238">
        <v>0</v>
      </c>
      <c r="J238" s="2" t="s">
        <v>31</v>
      </c>
      <c r="K238">
        <v>9193</v>
      </c>
      <c r="L238">
        <v>9931</v>
      </c>
      <c r="M238">
        <v>9796</v>
      </c>
      <c r="N238">
        <v>97.6</v>
      </c>
      <c r="O238" s="2" t="s">
        <v>28</v>
      </c>
      <c r="P238">
        <v>9445</v>
      </c>
      <c r="Q238">
        <v>0</v>
      </c>
      <c r="R238" s="97"/>
      <c r="S238" s="2"/>
    </row>
    <row r="239" spans="1:19" x14ac:dyDescent="0.25">
      <c r="A239" s="96" t="str">
        <f t="shared" si="3"/>
        <v>VictoriaCommencements444401st revision</v>
      </c>
      <c r="B239" s="3">
        <v>238</v>
      </c>
      <c r="C239" s="2" t="s">
        <v>8</v>
      </c>
      <c r="D239" s="2" t="s">
        <v>78</v>
      </c>
      <c r="E239">
        <v>2022.1</v>
      </c>
      <c r="F239">
        <v>111</v>
      </c>
      <c r="G239" s="70">
        <v>44440</v>
      </c>
      <c r="H239">
        <v>9762</v>
      </c>
      <c r="I239">
        <v>0</v>
      </c>
      <c r="J239" s="2" t="s">
        <v>0</v>
      </c>
      <c r="K239">
        <v>9711</v>
      </c>
      <c r="L239">
        <v>9813</v>
      </c>
      <c r="M239">
        <v>9796</v>
      </c>
      <c r="N239">
        <v>99.7</v>
      </c>
      <c r="O239" s="2" t="s">
        <v>28</v>
      </c>
      <c r="P239">
        <v>9739</v>
      </c>
      <c r="Q239">
        <v>0</v>
      </c>
      <c r="R239" s="97"/>
      <c r="S239" s="2"/>
    </row>
    <row r="240" spans="1:19" x14ac:dyDescent="0.25">
      <c r="A240" s="96" t="str">
        <f t="shared" si="3"/>
        <v>VictoriaCommencements44531Initial</v>
      </c>
      <c r="B240" s="3">
        <v>239</v>
      </c>
      <c r="C240" s="2" t="s">
        <v>8</v>
      </c>
      <c r="D240" s="2" t="s">
        <v>78</v>
      </c>
      <c r="E240">
        <v>2022.2</v>
      </c>
      <c r="F240">
        <v>111</v>
      </c>
      <c r="G240" s="70">
        <v>44531</v>
      </c>
      <c r="H240">
        <v>10249</v>
      </c>
      <c r="I240">
        <v>0</v>
      </c>
      <c r="J240" s="2" t="s">
        <v>31</v>
      </c>
      <c r="K240">
        <v>9865</v>
      </c>
      <c r="L240">
        <v>10633</v>
      </c>
      <c r="M240">
        <v>10412</v>
      </c>
      <c r="N240">
        <v>98.4</v>
      </c>
      <c r="O240" s="2" t="s">
        <v>28</v>
      </c>
      <c r="P240">
        <v>10106</v>
      </c>
      <c r="Q240">
        <v>0</v>
      </c>
      <c r="R240" s="97"/>
      <c r="S240" s="2"/>
    </row>
    <row r="241" spans="1:19" x14ac:dyDescent="0.25">
      <c r="A241" s="96" t="str">
        <f t="shared" si="3"/>
        <v>VictoriaCommencements445311st revision</v>
      </c>
      <c r="B241" s="3">
        <v>240</v>
      </c>
      <c r="C241" s="2" t="s">
        <v>8</v>
      </c>
      <c r="D241" s="2" t="s">
        <v>78</v>
      </c>
      <c r="E241">
        <v>2022.2</v>
      </c>
      <c r="F241">
        <v>112</v>
      </c>
      <c r="G241" s="70">
        <v>44531</v>
      </c>
      <c r="H241">
        <v>10342</v>
      </c>
      <c r="I241">
        <v>0</v>
      </c>
      <c r="J241" s="2" t="s">
        <v>0</v>
      </c>
      <c r="K241">
        <v>10285</v>
      </c>
      <c r="L241">
        <v>10399</v>
      </c>
      <c r="M241">
        <v>10412</v>
      </c>
      <c r="N241">
        <v>99.3</v>
      </c>
      <c r="O241" s="2" t="s">
        <v>28</v>
      </c>
      <c r="P241">
        <v>10313</v>
      </c>
      <c r="Q241">
        <v>0</v>
      </c>
      <c r="R241" s="97"/>
      <c r="S241" s="2"/>
    </row>
    <row r="242" spans="1:19" x14ac:dyDescent="0.25">
      <c r="A242" s="96" t="str">
        <f t="shared" si="3"/>
        <v>VictoriaCompletions44256Initial</v>
      </c>
      <c r="B242" s="3">
        <v>241</v>
      </c>
      <c r="C242" s="2" t="s">
        <v>8</v>
      </c>
      <c r="D242" s="2" t="s">
        <v>79</v>
      </c>
      <c r="E242">
        <v>2021.3</v>
      </c>
      <c r="F242">
        <v>108</v>
      </c>
      <c r="G242" s="70">
        <v>44256</v>
      </c>
      <c r="H242">
        <v>3932</v>
      </c>
      <c r="I242">
        <v>0</v>
      </c>
      <c r="J242" s="2" t="s">
        <v>31</v>
      </c>
      <c r="K242">
        <v>3823</v>
      </c>
      <c r="L242">
        <v>4041</v>
      </c>
      <c r="M242">
        <v>3987</v>
      </c>
      <c r="N242">
        <v>98.6</v>
      </c>
      <c r="O242" s="2" t="s">
        <v>28</v>
      </c>
      <c r="P242">
        <v>3707</v>
      </c>
      <c r="Q242">
        <v>0</v>
      </c>
      <c r="R242" s="97"/>
      <c r="S242" s="2"/>
    </row>
    <row r="243" spans="1:19" x14ac:dyDescent="0.25">
      <c r="A243" s="96" t="str">
        <f t="shared" si="3"/>
        <v>VictoriaCompletions442561st revision</v>
      </c>
      <c r="B243" s="3">
        <v>242</v>
      </c>
      <c r="C243" s="2" t="s">
        <v>8</v>
      </c>
      <c r="D243" s="2" t="s">
        <v>79</v>
      </c>
      <c r="E243">
        <v>2021.3</v>
      </c>
      <c r="F243">
        <v>109</v>
      </c>
      <c r="G243" s="70">
        <v>44256</v>
      </c>
      <c r="H243">
        <v>4015</v>
      </c>
      <c r="I243">
        <v>0</v>
      </c>
      <c r="J243" s="2" t="s">
        <v>0</v>
      </c>
      <c r="K243">
        <v>3970</v>
      </c>
      <c r="L243">
        <v>4060</v>
      </c>
      <c r="M243">
        <v>3987</v>
      </c>
      <c r="N243">
        <v>100.7</v>
      </c>
      <c r="O243" s="2" t="s">
        <v>28</v>
      </c>
      <c r="P243">
        <v>3907</v>
      </c>
      <c r="Q243">
        <v>0</v>
      </c>
      <c r="R243" s="97"/>
      <c r="S243" s="2"/>
    </row>
    <row r="244" spans="1:19" x14ac:dyDescent="0.25">
      <c r="A244" s="96" t="str">
        <f t="shared" si="3"/>
        <v>VictoriaCompletions44348Initial</v>
      </c>
      <c r="B244" s="3">
        <v>243</v>
      </c>
      <c r="C244" s="2" t="s">
        <v>8</v>
      </c>
      <c r="D244" s="2" t="s">
        <v>79</v>
      </c>
      <c r="E244">
        <v>2021.4</v>
      </c>
      <c r="F244">
        <v>109</v>
      </c>
      <c r="G244" s="70">
        <v>44348</v>
      </c>
      <c r="H244">
        <v>3174</v>
      </c>
      <c r="I244">
        <v>0</v>
      </c>
      <c r="J244" s="2" t="s">
        <v>31</v>
      </c>
      <c r="K244">
        <v>3081</v>
      </c>
      <c r="L244">
        <v>3267</v>
      </c>
      <c r="M244">
        <v>3247</v>
      </c>
      <c r="N244">
        <v>97.8</v>
      </c>
      <c r="O244" s="2" t="s">
        <v>28</v>
      </c>
      <c r="P244">
        <v>2984</v>
      </c>
      <c r="Q244">
        <v>0</v>
      </c>
      <c r="R244" s="97"/>
      <c r="S244" s="2"/>
    </row>
    <row r="245" spans="1:19" x14ac:dyDescent="0.25">
      <c r="A245" s="96" t="str">
        <f t="shared" si="3"/>
        <v>VictoriaCompletions443481st revision</v>
      </c>
      <c r="B245" s="3">
        <v>244</v>
      </c>
      <c r="C245" s="2" t="s">
        <v>8</v>
      </c>
      <c r="D245" s="2" t="s">
        <v>79</v>
      </c>
      <c r="E245">
        <v>2021.4</v>
      </c>
      <c r="F245">
        <v>110</v>
      </c>
      <c r="G245" s="70">
        <v>44348</v>
      </c>
      <c r="H245">
        <v>3234</v>
      </c>
      <c r="I245">
        <v>0</v>
      </c>
      <c r="J245" s="2" t="s">
        <v>0</v>
      </c>
      <c r="K245">
        <v>3201</v>
      </c>
      <c r="L245">
        <v>3267</v>
      </c>
      <c r="M245">
        <v>3247</v>
      </c>
      <c r="N245">
        <v>99.6</v>
      </c>
      <c r="O245" s="2" t="s">
        <v>28</v>
      </c>
      <c r="P245">
        <v>3146</v>
      </c>
      <c r="Q245">
        <v>0</v>
      </c>
      <c r="R245" s="97"/>
      <c r="S245" s="2"/>
    </row>
    <row r="246" spans="1:19" x14ac:dyDescent="0.25">
      <c r="A246" s="96" t="str">
        <f t="shared" si="3"/>
        <v>VictoriaCompletions44440Initial</v>
      </c>
      <c r="B246" s="3">
        <v>245</v>
      </c>
      <c r="C246" s="2" t="s">
        <v>8</v>
      </c>
      <c r="D246" s="2" t="s">
        <v>79</v>
      </c>
      <c r="E246">
        <v>2022.1</v>
      </c>
      <c r="F246">
        <v>110</v>
      </c>
      <c r="G246" s="70">
        <v>44440</v>
      </c>
      <c r="H246">
        <v>3287</v>
      </c>
      <c r="I246">
        <v>0</v>
      </c>
      <c r="J246" s="2" t="s">
        <v>31</v>
      </c>
      <c r="K246">
        <v>3188</v>
      </c>
      <c r="L246">
        <v>3386</v>
      </c>
      <c r="M246">
        <v>3339</v>
      </c>
      <c r="N246">
        <v>98.4</v>
      </c>
      <c r="O246" s="2" t="s">
        <v>28</v>
      </c>
      <c r="P246">
        <v>3089</v>
      </c>
      <c r="Q246">
        <v>0</v>
      </c>
      <c r="R246" s="97"/>
      <c r="S246" s="2"/>
    </row>
    <row r="247" spans="1:19" x14ac:dyDescent="0.25">
      <c r="A247" s="96" t="str">
        <f t="shared" si="3"/>
        <v>VictoriaCompletions444401st revision</v>
      </c>
      <c r="B247" s="3">
        <v>246</v>
      </c>
      <c r="C247" s="2" t="s">
        <v>8</v>
      </c>
      <c r="D247" s="2" t="s">
        <v>79</v>
      </c>
      <c r="E247">
        <v>2022.1</v>
      </c>
      <c r="F247">
        <v>111</v>
      </c>
      <c r="G247" s="70">
        <v>44440</v>
      </c>
      <c r="H247">
        <v>3330</v>
      </c>
      <c r="I247">
        <v>0</v>
      </c>
      <c r="J247" s="2" t="s">
        <v>0</v>
      </c>
      <c r="K247">
        <v>3303</v>
      </c>
      <c r="L247">
        <v>3357</v>
      </c>
      <c r="M247">
        <v>3339</v>
      </c>
      <c r="N247">
        <v>99.7</v>
      </c>
      <c r="O247" s="2" t="s">
        <v>28</v>
      </c>
      <c r="P247">
        <v>3235</v>
      </c>
      <c r="Q247">
        <v>0</v>
      </c>
      <c r="R247" s="97"/>
      <c r="S247" s="2"/>
    </row>
    <row r="248" spans="1:19" x14ac:dyDescent="0.25">
      <c r="A248" s="96" t="str">
        <f t="shared" si="3"/>
        <v>VictoriaCompletions44531Initial</v>
      </c>
      <c r="B248" s="3">
        <v>247</v>
      </c>
      <c r="C248" s="2" t="s">
        <v>8</v>
      </c>
      <c r="D248" s="2" t="s">
        <v>79</v>
      </c>
      <c r="E248">
        <v>2022.2</v>
      </c>
      <c r="F248">
        <v>111</v>
      </c>
      <c r="G248" s="70">
        <v>44531</v>
      </c>
      <c r="H248">
        <v>6397</v>
      </c>
      <c r="I248">
        <v>0</v>
      </c>
      <c r="J248" s="2" t="s">
        <v>31</v>
      </c>
      <c r="K248">
        <v>6239</v>
      </c>
      <c r="L248">
        <v>6555</v>
      </c>
      <c r="M248">
        <v>6420</v>
      </c>
      <c r="N248">
        <v>99.6</v>
      </c>
      <c r="O248" s="2" t="s">
        <v>28</v>
      </c>
      <c r="P248">
        <v>5990</v>
      </c>
      <c r="Q248">
        <v>0</v>
      </c>
      <c r="R248" s="97"/>
      <c r="S248" s="2"/>
    </row>
    <row r="249" spans="1:19" x14ac:dyDescent="0.25">
      <c r="A249" s="96" t="str">
        <f t="shared" si="3"/>
        <v>VictoriaCompletions445311st revision</v>
      </c>
      <c r="B249" s="3">
        <v>248</v>
      </c>
      <c r="C249" s="2" t="s">
        <v>8</v>
      </c>
      <c r="D249" s="2" t="s">
        <v>79</v>
      </c>
      <c r="E249">
        <v>2022.2</v>
      </c>
      <c r="F249">
        <v>112</v>
      </c>
      <c r="G249" s="70">
        <v>44531</v>
      </c>
      <c r="H249">
        <v>6459</v>
      </c>
      <c r="I249">
        <v>0</v>
      </c>
      <c r="J249" s="2" t="s">
        <v>0</v>
      </c>
      <c r="K249">
        <v>6337</v>
      </c>
      <c r="L249">
        <v>6581</v>
      </c>
      <c r="M249">
        <v>6420</v>
      </c>
      <c r="N249">
        <v>100.6</v>
      </c>
      <c r="O249" s="2" t="s">
        <v>28</v>
      </c>
      <c r="P249">
        <v>6250</v>
      </c>
      <c r="Q249">
        <v>0</v>
      </c>
      <c r="R249" s="97"/>
      <c r="S249" s="2"/>
    </row>
    <row r="250" spans="1:19" x14ac:dyDescent="0.25">
      <c r="A250" s="96" t="str">
        <f t="shared" si="3"/>
        <v>VictoriaIn-training43891Initial</v>
      </c>
      <c r="B250" s="3">
        <v>249</v>
      </c>
      <c r="C250" s="2" t="s">
        <v>8</v>
      </c>
      <c r="D250" s="2" t="s">
        <v>80</v>
      </c>
      <c r="E250">
        <v>2020.3</v>
      </c>
      <c r="F250">
        <v>104</v>
      </c>
      <c r="G250" s="70">
        <v>43891</v>
      </c>
      <c r="H250">
        <v>63261</v>
      </c>
      <c r="I250">
        <v>0</v>
      </c>
      <c r="J250" s="2" t="s">
        <v>31</v>
      </c>
      <c r="K250">
        <v>62372</v>
      </c>
      <c r="L250">
        <v>64150</v>
      </c>
      <c r="M250">
        <v>62349</v>
      </c>
      <c r="N250">
        <v>101.5</v>
      </c>
      <c r="O250" s="2" t="s">
        <v>27</v>
      </c>
      <c r="P250">
        <v>64567</v>
      </c>
      <c r="Q250">
        <v>0</v>
      </c>
      <c r="R250" s="97"/>
      <c r="S250" s="2"/>
    </row>
    <row r="251" spans="1:19" x14ac:dyDescent="0.25">
      <c r="A251" s="96" t="str">
        <f t="shared" si="3"/>
        <v>VictoriaIn-training438911st revision</v>
      </c>
      <c r="B251" s="3">
        <v>250</v>
      </c>
      <c r="C251" s="2" t="s">
        <v>8</v>
      </c>
      <c r="D251" s="2" t="s">
        <v>80</v>
      </c>
      <c r="E251">
        <v>2020.3</v>
      </c>
      <c r="F251">
        <v>105</v>
      </c>
      <c r="G251" s="70">
        <v>43891</v>
      </c>
      <c r="H251">
        <v>63214</v>
      </c>
      <c r="I251">
        <v>0</v>
      </c>
      <c r="J251" s="2" t="s">
        <v>0</v>
      </c>
      <c r="K251">
        <v>62603</v>
      </c>
      <c r="L251">
        <v>63825</v>
      </c>
      <c r="M251">
        <v>62349</v>
      </c>
      <c r="N251">
        <v>101.4</v>
      </c>
      <c r="O251" s="2" t="s">
        <v>27</v>
      </c>
      <c r="P251">
        <v>64173</v>
      </c>
      <c r="Q251">
        <v>0</v>
      </c>
      <c r="R251" s="97"/>
      <c r="S251" s="2"/>
    </row>
    <row r="252" spans="1:19" x14ac:dyDescent="0.25">
      <c r="A252" s="96" t="str">
        <f t="shared" si="3"/>
        <v>VictoriaIn-training43983Initial</v>
      </c>
      <c r="B252" s="3">
        <v>251</v>
      </c>
      <c r="C252" s="2" t="s">
        <v>8</v>
      </c>
      <c r="D252" s="2" t="s">
        <v>80</v>
      </c>
      <c r="E252">
        <v>2020.4</v>
      </c>
      <c r="F252">
        <v>105</v>
      </c>
      <c r="G252" s="70">
        <v>43983</v>
      </c>
      <c r="H252">
        <v>61671</v>
      </c>
      <c r="I252">
        <v>0</v>
      </c>
      <c r="J252" s="2" t="s">
        <v>31</v>
      </c>
      <c r="K252">
        <v>60933</v>
      </c>
      <c r="L252">
        <v>62409</v>
      </c>
      <c r="M252">
        <v>60679</v>
      </c>
      <c r="N252">
        <v>101.6</v>
      </c>
      <c r="O252" s="2" t="s">
        <v>27</v>
      </c>
      <c r="P252">
        <v>63139</v>
      </c>
      <c r="Q252">
        <v>0</v>
      </c>
      <c r="R252" s="97"/>
      <c r="S252" s="2"/>
    </row>
    <row r="253" spans="1:19" x14ac:dyDescent="0.25">
      <c r="A253" s="96" t="str">
        <f t="shared" si="3"/>
        <v>VictoriaIn-training439831st revision</v>
      </c>
      <c r="B253" s="3">
        <v>252</v>
      </c>
      <c r="C253" s="2" t="s">
        <v>8</v>
      </c>
      <c r="D253" s="2" t="s">
        <v>80</v>
      </c>
      <c r="E253">
        <v>2020.4</v>
      </c>
      <c r="F253">
        <v>106</v>
      </c>
      <c r="G253" s="70">
        <v>43983</v>
      </c>
      <c r="H253">
        <v>61753</v>
      </c>
      <c r="I253">
        <v>0</v>
      </c>
      <c r="J253" s="2" t="s">
        <v>0</v>
      </c>
      <c r="K253">
        <v>61286</v>
      </c>
      <c r="L253">
        <v>62220</v>
      </c>
      <c r="M253">
        <v>60679</v>
      </c>
      <c r="N253">
        <v>101.8</v>
      </c>
      <c r="O253" s="2" t="s">
        <v>27</v>
      </c>
      <c r="P253">
        <v>62295</v>
      </c>
      <c r="Q253">
        <v>0</v>
      </c>
      <c r="R253" s="97"/>
      <c r="S253" s="2"/>
    </row>
    <row r="254" spans="1:19" x14ac:dyDescent="0.25">
      <c r="A254" s="96" t="str">
        <f t="shared" si="3"/>
        <v>VictoriaIn-training44075Initial</v>
      </c>
      <c r="B254" s="3">
        <v>253</v>
      </c>
      <c r="C254" s="2" t="s">
        <v>8</v>
      </c>
      <c r="D254" s="2" t="s">
        <v>80</v>
      </c>
      <c r="E254">
        <v>2021.1</v>
      </c>
      <c r="F254">
        <v>106</v>
      </c>
      <c r="G254" s="70">
        <v>44075</v>
      </c>
      <c r="H254">
        <v>59712</v>
      </c>
      <c r="I254">
        <v>0</v>
      </c>
      <c r="J254" s="2" t="s">
        <v>31</v>
      </c>
      <c r="K254">
        <v>59132</v>
      </c>
      <c r="L254">
        <v>60292</v>
      </c>
      <c r="M254">
        <v>58355</v>
      </c>
      <c r="N254">
        <v>102.3</v>
      </c>
      <c r="O254" s="2" t="s">
        <v>27</v>
      </c>
      <c r="P254">
        <v>60584</v>
      </c>
      <c r="Q254">
        <v>0</v>
      </c>
      <c r="R254" s="97"/>
      <c r="S254" s="2"/>
    </row>
    <row r="255" spans="1:19" x14ac:dyDescent="0.25">
      <c r="A255" s="96" t="str">
        <f t="shared" si="3"/>
        <v>VictoriaIn-training440751st revision</v>
      </c>
      <c r="B255" s="3">
        <v>254</v>
      </c>
      <c r="C255" s="2" t="s">
        <v>8</v>
      </c>
      <c r="D255" s="2" t="s">
        <v>80</v>
      </c>
      <c r="E255">
        <v>2021.1</v>
      </c>
      <c r="F255">
        <v>107</v>
      </c>
      <c r="G255" s="70">
        <v>44075</v>
      </c>
      <c r="H255">
        <v>59723</v>
      </c>
      <c r="I255">
        <v>0</v>
      </c>
      <c r="J255" s="2" t="s">
        <v>0</v>
      </c>
      <c r="K255">
        <v>59330</v>
      </c>
      <c r="L255">
        <v>60116</v>
      </c>
      <c r="M255">
        <v>58355</v>
      </c>
      <c r="N255">
        <v>102.3</v>
      </c>
      <c r="O255" s="2" t="s">
        <v>27</v>
      </c>
      <c r="P255">
        <v>59971</v>
      </c>
      <c r="Q255">
        <v>0</v>
      </c>
      <c r="R255" s="97"/>
      <c r="S255" s="2"/>
    </row>
    <row r="256" spans="1:19" x14ac:dyDescent="0.25">
      <c r="A256" s="96" t="str">
        <f t="shared" si="3"/>
        <v>VictoriaIn-training44166Initial</v>
      </c>
      <c r="B256" s="3">
        <v>255</v>
      </c>
      <c r="C256" s="2" t="s">
        <v>8</v>
      </c>
      <c r="D256" s="2" t="s">
        <v>80</v>
      </c>
      <c r="E256">
        <v>2021.2</v>
      </c>
      <c r="F256">
        <v>107</v>
      </c>
      <c r="G256" s="70">
        <v>44166</v>
      </c>
      <c r="H256">
        <v>67647</v>
      </c>
      <c r="I256">
        <v>0</v>
      </c>
      <c r="J256" s="2" t="s">
        <v>31</v>
      </c>
      <c r="K256">
        <v>67147</v>
      </c>
      <c r="L256">
        <v>68147</v>
      </c>
      <c r="M256">
        <v>65637</v>
      </c>
      <c r="N256">
        <v>103.1</v>
      </c>
      <c r="O256" s="2" t="s">
        <v>27</v>
      </c>
      <c r="P256">
        <v>68370</v>
      </c>
      <c r="Q256">
        <v>0</v>
      </c>
      <c r="R256" s="97"/>
      <c r="S256" s="2"/>
    </row>
    <row r="257" spans="1:19" x14ac:dyDescent="0.25">
      <c r="A257" s="96" t="str">
        <f t="shared" si="3"/>
        <v>VictoriaIn-training441661st revision</v>
      </c>
      <c r="B257" s="3">
        <v>256</v>
      </c>
      <c r="C257" s="2" t="s">
        <v>8</v>
      </c>
      <c r="D257" s="2" t="s">
        <v>80</v>
      </c>
      <c r="E257">
        <v>2021.2</v>
      </c>
      <c r="F257">
        <v>108</v>
      </c>
      <c r="G257" s="70">
        <v>44166</v>
      </c>
      <c r="H257">
        <v>67311</v>
      </c>
      <c r="I257">
        <v>0</v>
      </c>
      <c r="J257" s="2" t="s">
        <v>0</v>
      </c>
      <c r="K257">
        <v>66905</v>
      </c>
      <c r="L257">
        <v>67717</v>
      </c>
      <c r="M257">
        <v>65637</v>
      </c>
      <c r="N257">
        <v>102.6</v>
      </c>
      <c r="O257" s="2" t="s">
        <v>27</v>
      </c>
      <c r="P257">
        <v>67483</v>
      </c>
      <c r="Q257">
        <v>0</v>
      </c>
      <c r="R257" s="97"/>
      <c r="S257" s="2"/>
    </row>
    <row r="258" spans="1:19" x14ac:dyDescent="0.25">
      <c r="A258" s="96" t="str">
        <f t="shared" ref="A258:A289" si="4">CONCATENATE(C258,D258,G258,J258)</f>
        <v>Western AustraliaCancellations/withdrawals43891Initial</v>
      </c>
      <c r="B258" s="3">
        <v>257</v>
      </c>
      <c r="C258" s="2" t="s">
        <v>9</v>
      </c>
      <c r="D258" s="2" t="s">
        <v>77</v>
      </c>
      <c r="E258">
        <v>2020.3</v>
      </c>
      <c r="F258">
        <v>104</v>
      </c>
      <c r="G258" s="70">
        <v>43891</v>
      </c>
      <c r="H258">
        <v>1846</v>
      </c>
      <c r="I258">
        <v>0</v>
      </c>
      <c r="J258" s="2" t="s">
        <v>31</v>
      </c>
      <c r="K258">
        <v>1840</v>
      </c>
      <c r="L258">
        <v>1852</v>
      </c>
      <c r="M258">
        <v>1845</v>
      </c>
      <c r="N258">
        <v>100.1</v>
      </c>
      <c r="O258" s="2" t="s">
        <v>28</v>
      </c>
      <c r="P258">
        <v>1844</v>
      </c>
      <c r="Q258">
        <v>0</v>
      </c>
      <c r="R258" s="97"/>
      <c r="S258" s="2"/>
    </row>
    <row r="259" spans="1:19" x14ac:dyDescent="0.25">
      <c r="A259" s="96" t="str">
        <f t="shared" si="4"/>
        <v>Western AustraliaCancellations/withdrawals438911st revision</v>
      </c>
      <c r="B259" s="3">
        <v>258</v>
      </c>
      <c r="C259" s="2" t="s">
        <v>9</v>
      </c>
      <c r="D259" s="2" t="s">
        <v>77</v>
      </c>
      <c r="E259">
        <v>2020.3</v>
      </c>
      <c r="F259">
        <v>105</v>
      </c>
      <c r="G259" s="70">
        <v>43891</v>
      </c>
      <c r="H259">
        <v>1845</v>
      </c>
      <c r="I259">
        <v>0</v>
      </c>
      <c r="J259" s="2" t="s">
        <v>0</v>
      </c>
      <c r="K259">
        <v>1842</v>
      </c>
      <c r="L259">
        <v>1848</v>
      </c>
      <c r="M259">
        <v>1845</v>
      </c>
      <c r="N259">
        <v>100</v>
      </c>
      <c r="O259" s="2" t="s">
        <v>28</v>
      </c>
      <c r="P259">
        <v>1844</v>
      </c>
      <c r="Q259">
        <v>0</v>
      </c>
      <c r="R259" s="97"/>
      <c r="S259" s="2"/>
    </row>
    <row r="260" spans="1:19" x14ac:dyDescent="0.25">
      <c r="A260" s="96" t="str">
        <f t="shared" si="4"/>
        <v>Western AustraliaCancellations/withdrawals43983Initial</v>
      </c>
      <c r="B260" s="3">
        <v>259</v>
      </c>
      <c r="C260" s="2" t="s">
        <v>9</v>
      </c>
      <c r="D260" s="2" t="s">
        <v>77</v>
      </c>
      <c r="E260">
        <v>2020.4</v>
      </c>
      <c r="F260">
        <v>105</v>
      </c>
      <c r="G260" s="70">
        <v>43983</v>
      </c>
      <c r="H260">
        <v>1495</v>
      </c>
      <c r="I260">
        <v>0</v>
      </c>
      <c r="J260" s="2" t="s">
        <v>31</v>
      </c>
      <c r="K260">
        <v>1490</v>
      </c>
      <c r="L260">
        <v>1500</v>
      </c>
      <c r="M260">
        <v>1494</v>
      </c>
      <c r="N260">
        <v>100.1</v>
      </c>
      <c r="O260" s="2" t="s">
        <v>28</v>
      </c>
      <c r="P260">
        <v>1494</v>
      </c>
      <c r="Q260">
        <v>0</v>
      </c>
      <c r="R260" s="97"/>
      <c r="S260" s="2"/>
    </row>
    <row r="261" spans="1:19" x14ac:dyDescent="0.25">
      <c r="A261" s="96" t="str">
        <f t="shared" si="4"/>
        <v>Western AustraliaCancellations/withdrawals439831st revision</v>
      </c>
      <c r="B261" s="3">
        <v>260</v>
      </c>
      <c r="C261" s="2" t="s">
        <v>9</v>
      </c>
      <c r="D261" s="2" t="s">
        <v>77</v>
      </c>
      <c r="E261">
        <v>2020.4</v>
      </c>
      <c r="F261">
        <v>106</v>
      </c>
      <c r="G261" s="70">
        <v>43983</v>
      </c>
      <c r="H261">
        <v>1495</v>
      </c>
      <c r="I261">
        <v>0</v>
      </c>
      <c r="J261" s="2" t="s">
        <v>0</v>
      </c>
      <c r="K261">
        <v>1491</v>
      </c>
      <c r="L261">
        <v>1499</v>
      </c>
      <c r="M261">
        <v>1494</v>
      </c>
      <c r="N261">
        <v>100.1</v>
      </c>
      <c r="O261" s="2" t="s">
        <v>28</v>
      </c>
      <c r="P261">
        <v>1494</v>
      </c>
      <c r="Q261">
        <v>0</v>
      </c>
      <c r="R261" s="97"/>
      <c r="S261" s="2"/>
    </row>
    <row r="262" spans="1:19" x14ac:dyDescent="0.25">
      <c r="A262" s="96" t="str">
        <f t="shared" si="4"/>
        <v>Western AustraliaCancellations/withdrawals44075Initial</v>
      </c>
      <c r="B262" s="3">
        <v>261</v>
      </c>
      <c r="C262" s="2" t="s">
        <v>9</v>
      </c>
      <c r="D262" s="2" t="s">
        <v>77</v>
      </c>
      <c r="E262">
        <v>2021.1</v>
      </c>
      <c r="F262">
        <v>106</v>
      </c>
      <c r="G262" s="70">
        <v>44075</v>
      </c>
      <c r="H262">
        <v>1888</v>
      </c>
      <c r="I262">
        <v>0</v>
      </c>
      <c r="J262" s="2" t="s">
        <v>31</v>
      </c>
      <c r="K262">
        <v>1882</v>
      </c>
      <c r="L262">
        <v>1894</v>
      </c>
      <c r="M262">
        <v>1886</v>
      </c>
      <c r="N262">
        <v>100.1</v>
      </c>
      <c r="O262" s="2" t="s">
        <v>28</v>
      </c>
      <c r="P262">
        <v>1886</v>
      </c>
      <c r="Q262">
        <v>0</v>
      </c>
      <c r="R262" s="97"/>
      <c r="S262" s="2"/>
    </row>
    <row r="263" spans="1:19" x14ac:dyDescent="0.25">
      <c r="A263" s="96" t="str">
        <f t="shared" si="4"/>
        <v>Western AustraliaCancellations/withdrawals440751st revision</v>
      </c>
      <c r="B263" s="3">
        <v>262</v>
      </c>
      <c r="C263" s="2" t="s">
        <v>9</v>
      </c>
      <c r="D263" s="2" t="s">
        <v>77</v>
      </c>
      <c r="E263">
        <v>2021.1</v>
      </c>
      <c r="F263">
        <v>107</v>
      </c>
      <c r="G263" s="70">
        <v>44075</v>
      </c>
      <c r="H263">
        <v>1887</v>
      </c>
      <c r="I263">
        <v>0</v>
      </c>
      <c r="J263" s="2" t="s">
        <v>0</v>
      </c>
      <c r="K263">
        <v>1882</v>
      </c>
      <c r="L263">
        <v>1892</v>
      </c>
      <c r="M263">
        <v>1886</v>
      </c>
      <c r="N263">
        <v>100.1</v>
      </c>
      <c r="O263" s="2" t="s">
        <v>28</v>
      </c>
      <c r="P263">
        <v>1886</v>
      </c>
      <c r="Q263">
        <v>0</v>
      </c>
      <c r="R263" s="97"/>
      <c r="S263" s="2"/>
    </row>
    <row r="264" spans="1:19" x14ac:dyDescent="0.25">
      <c r="A264" s="96" t="str">
        <f t="shared" si="4"/>
        <v>Western AustraliaCancellations/withdrawals44166Initial</v>
      </c>
      <c r="B264" s="3">
        <v>263</v>
      </c>
      <c r="C264" s="2" t="s">
        <v>9</v>
      </c>
      <c r="D264" s="2" t="s">
        <v>77</v>
      </c>
      <c r="E264">
        <v>2021.2</v>
      </c>
      <c r="F264">
        <v>107</v>
      </c>
      <c r="G264" s="70">
        <v>44166</v>
      </c>
      <c r="H264">
        <v>1933</v>
      </c>
      <c r="I264">
        <v>0</v>
      </c>
      <c r="J264" s="2" t="s">
        <v>31</v>
      </c>
      <c r="K264">
        <v>1927</v>
      </c>
      <c r="L264">
        <v>1939</v>
      </c>
      <c r="M264">
        <v>1931</v>
      </c>
      <c r="N264">
        <v>100.1</v>
      </c>
      <c r="O264" s="2" t="s">
        <v>28</v>
      </c>
      <c r="P264">
        <v>1931</v>
      </c>
      <c r="Q264">
        <v>0</v>
      </c>
      <c r="R264" s="97"/>
      <c r="S264" s="2"/>
    </row>
    <row r="265" spans="1:19" x14ac:dyDescent="0.25">
      <c r="A265" s="96" t="str">
        <f t="shared" si="4"/>
        <v>Western AustraliaCancellations/withdrawals441661st revision</v>
      </c>
      <c r="B265" s="3">
        <v>264</v>
      </c>
      <c r="C265" s="2" t="s">
        <v>9</v>
      </c>
      <c r="D265" s="2" t="s">
        <v>77</v>
      </c>
      <c r="E265">
        <v>2021.2</v>
      </c>
      <c r="F265">
        <v>108</v>
      </c>
      <c r="G265" s="70">
        <v>44166</v>
      </c>
      <c r="H265">
        <v>1907</v>
      </c>
      <c r="I265">
        <v>0</v>
      </c>
      <c r="J265" s="2" t="s">
        <v>0</v>
      </c>
      <c r="K265">
        <v>1831</v>
      </c>
      <c r="L265">
        <v>1983</v>
      </c>
      <c r="M265">
        <v>1931</v>
      </c>
      <c r="N265">
        <v>98.8</v>
      </c>
      <c r="O265" s="2" t="s">
        <v>28</v>
      </c>
      <c r="P265">
        <v>1903</v>
      </c>
      <c r="Q265">
        <v>0</v>
      </c>
      <c r="R265" s="97"/>
      <c r="S265" s="2"/>
    </row>
    <row r="266" spans="1:19" x14ac:dyDescent="0.25">
      <c r="A266" s="96" t="str">
        <f t="shared" si="4"/>
        <v>Western AustraliaCommencements44256Initial</v>
      </c>
      <c r="B266" s="3">
        <v>265</v>
      </c>
      <c r="C266" s="2" t="s">
        <v>9</v>
      </c>
      <c r="D266" s="2" t="s">
        <v>78</v>
      </c>
      <c r="E266">
        <v>2021.3</v>
      </c>
      <c r="F266">
        <v>108</v>
      </c>
      <c r="G266" s="70">
        <v>44256</v>
      </c>
      <c r="H266">
        <v>8376</v>
      </c>
      <c r="I266">
        <v>0</v>
      </c>
      <c r="J266" s="2" t="s">
        <v>31</v>
      </c>
      <c r="K266">
        <v>8116</v>
      </c>
      <c r="L266">
        <v>8636</v>
      </c>
      <c r="M266">
        <v>8365</v>
      </c>
      <c r="N266">
        <v>100.1</v>
      </c>
      <c r="O266" s="2" t="s">
        <v>28</v>
      </c>
      <c r="P266">
        <v>8333</v>
      </c>
      <c r="Q266">
        <v>0</v>
      </c>
      <c r="R266" s="97"/>
      <c r="S266" s="2"/>
    </row>
    <row r="267" spans="1:19" x14ac:dyDescent="0.25">
      <c r="A267" s="96" t="str">
        <f t="shared" si="4"/>
        <v>Western AustraliaCommencements442561st revision</v>
      </c>
      <c r="B267" s="3">
        <v>266</v>
      </c>
      <c r="C267" s="2" t="s">
        <v>9</v>
      </c>
      <c r="D267" s="2" t="s">
        <v>78</v>
      </c>
      <c r="E267">
        <v>2021.3</v>
      </c>
      <c r="F267">
        <v>109</v>
      </c>
      <c r="G267" s="70">
        <v>44256</v>
      </c>
      <c r="H267">
        <v>8364</v>
      </c>
      <c r="I267">
        <v>0</v>
      </c>
      <c r="J267" s="2" t="s">
        <v>0</v>
      </c>
      <c r="K267">
        <v>8339</v>
      </c>
      <c r="L267">
        <v>8389</v>
      </c>
      <c r="M267">
        <v>8365</v>
      </c>
      <c r="N267">
        <v>100</v>
      </c>
      <c r="O267" s="2" t="s">
        <v>28</v>
      </c>
      <c r="P267">
        <v>8364</v>
      </c>
      <c r="Q267">
        <v>0</v>
      </c>
      <c r="R267" s="97"/>
      <c r="S267" s="2"/>
    </row>
    <row r="268" spans="1:19" x14ac:dyDescent="0.25">
      <c r="A268" s="96" t="str">
        <f t="shared" si="4"/>
        <v>Western AustraliaCommencements44348Initial</v>
      </c>
      <c r="B268" s="3">
        <v>267</v>
      </c>
      <c r="C268" s="2" t="s">
        <v>9</v>
      </c>
      <c r="D268" s="2" t="s">
        <v>78</v>
      </c>
      <c r="E268">
        <v>2021.4</v>
      </c>
      <c r="F268">
        <v>109</v>
      </c>
      <c r="G268" s="70">
        <v>44348</v>
      </c>
      <c r="H268">
        <v>6226</v>
      </c>
      <c r="I268">
        <v>0</v>
      </c>
      <c r="J268" s="2" t="s">
        <v>31</v>
      </c>
      <c r="K268">
        <v>6038</v>
      </c>
      <c r="L268">
        <v>6414</v>
      </c>
      <c r="M268">
        <v>6207</v>
      </c>
      <c r="N268">
        <v>100.3</v>
      </c>
      <c r="O268" s="2" t="s">
        <v>28</v>
      </c>
      <c r="P268">
        <v>6192</v>
      </c>
      <c r="Q268">
        <v>0</v>
      </c>
      <c r="R268" s="97"/>
      <c r="S268" s="2"/>
    </row>
    <row r="269" spans="1:19" x14ac:dyDescent="0.25">
      <c r="A269" s="96" t="str">
        <f t="shared" si="4"/>
        <v>Western AustraliaCommencements443481st revision</v>
      </c>
      <c r="B269" s="3">
        <v>268</v>
      </c>
      <c r="C269" s="2" t="s">
        <v>9</v>
      </c>
      <c r="D269" s="2" t="s">
        <v>78</v>
      </c>
      <c r="E269">
        <v>2021.4</v>
      </c>
      <c r="F269">
        <v>110</v>
      </c>
      <c r="G269" s="70">
        <v>44348</v>
      </c>
      <c r="H269">
        <v>6204</v>
      </c>
      <c r="I269">
        <v>0</v>
      </c>
      <c r="J269" s="2" t="s">
        <v>0</v>
      </c>
      <c r="K269">
        <v>6185</v>
      </c>
      <c r="L269">
        <v>6223</v>
      </c>
      <c r="M269">
        <v>6207</v>
      </c>
      <c r="N269">
        <v>100</v>
      </c>
      <c r="O269" s="2" t="s">
        <v>28</v>
      </c>
      <c r="P269">
        <v>6204</v>
      </c>
      <c r="Q269">
        <v>0</v>
      </c>
      <c r="R269" s="97"/>
      <c r="S269" s="2"/>
    </row>
    <row r="270" spans="1:19" x14ac:dyDescent="0.25">
      <c r="A270" s="96" t="str">
        <f t="shared" si="4"/>
        <v>Western AustraliaCommencements44440Initial</v>
      </c>
      <c r="B270" s="3">
        <v>269</v>
      </c>
      <c r="C270" s="2" t="s">
        <v>9</v>
      </c>
      <c r="D270" s="2" t="s">
        <v>78</v>
      </c>
      <c r="E270">
        <v>2022.1</v>
      </c>
      <c r="F270">
        <v>110</v>
      </c>
      <c r="G270" s="70">
        <v>44440</v>
      </c>
      <c r="H270">
        <v>6798</v>
      </c>
      <c r="I270">
        <v>0</v>
      </c>
      <c r="J270" s="2" t="s">
        <v>31</v>
      </c>
      <c r="K270">
        <v>6592</v>
      </c>
      <c r="L270">
        <v>7004</v>
      </c>
      <c r="M270">
        <v>6812</v>
      </c>
      <c r="N270">
        <v>99.8</v>
      </c>
      <c r="O270" s="2" t="s">
        <v>28</v>
      </c>
      <c r="P270">
        <v>6770</v>
      </c>
      <c r="Q270">
        <v>0</v>
      </c>
      <c r="R270" s="97"/>
      <c r="S270" s="2"/>
    </row>
    <row r="271" spans="1:19" x14ac:dyDescent="0.25">
      <c r="A271" s="96" t="str">
        <f t="shared" si="4"/>
        <v>Western AustraliaCommencements444401st revision</v>
      </c>
      <c r="B271" s="3">
        <v>270</v>
      </c>
      <c r="C271" s="2" t="s">
        <v>9</v>
      </c>
      <c r="D271" s="2" t="s">
        <v>78</v>
      </c>
      <c r="E271">
        <v>2022.1</v>
      </c>
      <c r="F271">
        <v>111</v>
      </c>
      <c r="G271" s="70">
        <v>44440</v>
      </c>
      <c r="H271">
        <v>6812</v>
      </c>
      <c r="I271">
        <v>0</v>
      </c>
      <c r="J271" s="2" t="s">
        <v>0</v>
      </c>
      <c r="K271">
        <v>6790</v>
      </c>
      <c r="L271">
        <v>6834</v>
      </c>
      <c r="M271">
        <v>6812</v>
      </c>
      <c r="N271">
        <v>100</v>
      </c>
      <c r="O271" s="2" t="s">
        <v>28</v>
      </c>
      <c r="P271">
        <v>6812</v>
      </c>
      <c r="Q271">
        <v>0</v>
      </c>
      <c r="R271" s="97"/>
      <c r="S271" s="2"/>
    </row>
    <row r="272" spans="1:19" x14ac:dyDescent="0.25">
      <c r="A272" s="96" t="str">
        <f t="shared" si="4"/>
        <v>Western AustraliaCommencements44531Initial</v>
      </c>
      <c r="B272" s="3">
        <v>271</v>
      </c>
      <c r="C272" s="2" t="s">
        <v>9</v>
      </c>
      <c r="D272" s="2" t="s">
        <v>78</v>
      </c>
      <c r="E272">
        <v>2022.2</v>
      </c>
      <c r="F272">
        <v>111</v>
      </c>
      <c r="G272" s="70">
        <v>44531</v>
      </c>
      <c r="H272">
        <v>6466</v>
      </c>
      <c r="I272">
        <v>0</v>
      </c>
      <c r="J272" s="2" t="s">
        <v>31</v>
      </c>
      <c r="K272">
        <v>6417</v>
      </c>
      <c r="L272">
        <v>6515</v>
      </c>
      <c r="M272">
        <v>6510</v>
      </c>
      <c r="N272">
        <v>99.3</v>
      </c>
      <c r="O272" s="2" t="s">
        <v>28</v>
      </c>
      <c r="P272">
        <v>6460</v>
      </c>
      <c r="Q272">
        <v>0</v>
      </c>
      <c r="R272" s="97"/>
      <c r="S272" s="2"/>
    </row>
    <row r="273" spans="1:19" x14ac:dyDescent="0.25">
      <c r="A273" s="96" t="str">
        <f t="shared" si="4"/>
        <v>Western AustraliaCommencements445311st revision</v>
      </c>
      <c r="B273" s="3">
        <v>272</v>
      </c>
      <c r="C273" s="2" t="s">
        <v>9</v>
      </c>
      <c r="D273" s="2" t="s">
        <v>78</v>
      </c>
      <c r="E273">
        <v>2022.2</v>
      </c>
      <c r="F273">
        <v>112</v>
      </c>
      <c r="G273" s="70">
        <v>44531</v>
      </c>
      <c r="H273">
        <v>6475</v>
      </c>
      <c r="I273">
        <v>0</v>
      </c>
      <c r="J273" s="2" t="s">
        <v>0</v>
      </c>
      <c r="K273">
        <v>6454</v>
      </c>
      <c r="L273">
        <v>6496</v>
      </c>
      <c r="M273">
        <v>6510</v>
      </c>
      <c r="N273">
        <v>99.5</v>
      </c>
      <c r="O273" s="2" t="s">
        <v>28</v>
      </c>
      <c r="P273">
        <v>6475</v>
      </c>
      <c r="Q273">
        <v>0</v>
      </c>
      <c r="R273" s="97"/>
      <c r="S273" s="2"/>
    </row>
    <row r="274" spans="1:19" x14ac:dyDescent="0.25">
      <c r="A274" s="96" t="str">
        <f t="shared" si="4"/>
        <v>Western AustraliaCompletions44256Initial</v>
      </c>
      <c r="B274" s="3">
        <v>273</v>
      </c>
      <c r="C274" s="2" t="s">
        <v>9</v>
      </c>
      <c r="D274" s="2" t="s">
        <v>79</v>
      </c>
      <c r="E274">
        <v>2021.3</v>
      </c>
      <c r="F274">
        <v>108</v>
      </c>
      <c r="G274" s="70">
        <v>44256</v>
      </c>
      <c r="H274">
        <v>2033</v>
      </c>
      <c r="I274">
        <v>0</v>
      </c>
      <c r="J274" s="2" t="s">
        <v>31</v>
      </c>
      <c r="K274">
        <v>1997</v>
      </c>
      <c r="L274">
        <v>2069</v>
      </c>
      <c r="M274">
        <v>2021</v>
      </c>
      <c r="N274">
        <v>100.6</v>
      </c>
      <c r="O274" s="2" t="s">
        <v>28</v>
      </c>
      <c r="P274">
        <v>2012</v>
      </c>
      <c r="Q274">
        <v>0</v>
      </c>
      <c r="R274" s="97"/>
      <c r="S274" s="2"/>
    </row>
    <row r="275" spans="1:19" x14ac:dyDescent="0.25">
      <c r="A275" s="96" t="str">
        <f t="shared" si="4"/>
        <v>Western AustraliaCompletions442561st revision</v>
      </c>
      <c r="B275" s="3">
        <v>274</v>
      </c>
      <c r="C275" s="2" t="s">
        <v>9</v>
      </c>
      <c r="D275" s="2" t="s">
        <v>79</v>
      </c>
      <c r="E275">
        <v>2021.3</v>
      </c>
      <c r="F275">
        <v>109</v>
      </c>
      <c r="G275" s="70">
        <v>44256</v>
      </c>
      <c r="H275">
        <v>2024</v>
      </c>
      <c r="I275">
        <v>0</v>
      </c>
      <c r="J275" s="2" t="s">
        <v>0</v>
      </c>
      <c r="K275">
        <v>2018</v>
      </c>
      <c r="L275">
        <v>2030</v>
      </c>
      <c r="M275">
        <v>2021</v>
      </c>
      <c r="N275">
        <v>100.1</v>
      </c>
      <c r="O275" s="2" t="s">
        <v>28</v>
      </c>
      <c r="P275">
        <v>2019</v>
      </c>
      <c r="Q275">
        <v>0</v>
      </c>
      <c r="R275" s="97"/>
      <c r="S275" s="2"/>
    </row>
    <row r="276" spans="1:19" x14ac:dyDescent="0.25">
      <c r="A276" s="96" t="str">
        <f t="shared" si="4"/>
        <v>Western AustraliaCompletions44348Initial</v>
      </c>
      <c r="B276" s="3">
        <v>275</v>
      </c>
      <c r="C276" s="2" t="s">
        <v>9</v>
      </c>
      <c r="D276" s="2" t="s">
        <v>79</v>
      </c>
      <c r="E276">
        <v>2021.4</v>
      </c>
      <c r="F276">
        <v>109</v>
      </c>
      <c r="G276" s="70">
        <v>44348</v>
      </c>
      <c r="H276">
        <v>2112</v>
      </c>
      <c r="I276">
        <v>0</v>
      </c>
      <c r="J276" s="2" t="s">
        <v>31</v>
      </c>
      <c r="K276">
        <v>2078</v>
      </c>
      <c r="L276">
        <v>2146</v>
      </c>
      <c r="M276">
        <v>2102</v>
      </c>
      <c r="N276">
        <v>100.5</v>
      </c>
      <c r="O276" s="2" t="s">
        <v>28</v>
      </c>
      <c r="P276">
        <v>2092</v>
      </c>
      <c r="Q276">
        <v>0</v>
      </c>
      <c r="R276" s="97"/>
      <c r="S276" s="2"/>
    </row>
    <row r="277" spans="1:19" x14ac:dyDescent="0.25">
      <c r="A277" s="96" t="str">
        <f t="shared" si="4"/>
        <v>Western AustraliaCompletions443481st revision</v>
      </c>
      <c r="B277" s="3">
        <v>276</v>
      </c>
      <c r="C277" s="2" t="s">
        <v>9</v>
      </c>
      <c r="D277" s="2" t="s">
        <v>79</v>
      </c>
      <c r="E277">
        <v>2021.4</v>
      </c>
      <c r="F277">
        <v>110</v>
      </c>
      <c r="G277" s="70">
        <v>44348</v>
      </c>
      <c r="H277">
        <v>2101</v>
      </c>
      <c r="I277">
        <v>0</v>
      </c>
      <c r="J277" s="2" t="s">
        <v>0</v>
      </c>
      <c r="K277">
        <v>2097</v>
      </c>
      <c r="L277">
        <v>2105</v>
      </c>
      <c r="M277">
        <v>2102</v>
      </c>
      <c r="N277">
        <v>100</v>
      </c>
      <c r="O277" s="2" t="s">
        <v>28</v>
      </c>
      <c r="P277">
        <v>2097</v>
      </c>
      <c r="Q277">
        <v>0</v>
      </c>
      <c r="R277" s="97"/>
      <c r="S277" s="2"/>
    </row>
    <row r="278" spans="1:19" x14ac:dyDescent="0.25">
      <c r="A278" s="96" t="str">
        <f t="shared" si="4"/>
        <v>Western AustraliaCompletions44440Initial</v>
      </c>
      <c r="B278" s="3">
        <v>277</v>
      </c>
      <c r="C278" s="2" t="s">
        <v>9</v>
      </c>
      <c r="D278" s="2" t="s">
        <v>79</v>
      </c>
      <c r="E278">
        <v>2022.1</v>
      </c>
      <c r="F278">
        <v>110</v>
      </c>
      <c r="G278" s="70">
        <v>44440</v>
      </c>
      <c r="H278">
        <v>2535</v>
      </c>
      <c r="I278">
        <v>0</v>
      </c>
      <c r="J278" s="2" t="s">
        <v>31</v>
      </c>
      <c r="K278">
        <v>2512</v>
      </c>
      <c r="L278">
        <v>2558</v>
      </c>
      <c r="M278">
        <v>2546</v>
      </c>
      <c r="N278">
        <v>99.6</v>
      </c>
      <c r="O278" s="2" t="s">
        <v>28</v>
      </c>
      <c r="P278">
        <v>2515</v>
      </c>
      <c r="Q278">
        <v>0</v>
      </c>
      <c r="R278" s="97"/>
      <c r="S278" s="2"/>
    </row>
    <row r="279" spans="1:19" x14ac:dyDescent="0.25">
      <c r="A279" s="96" t="str">
        <f t="shared" si="4"/>
        <v>Western AustraliaCompletions444401st revision</v>
      </c>
      <c r="B279" s="3">
        <v>278</v>
      </c>
      <c r="C279" s="2" t="s">
        <v>9</v>
      </c>
      <c r="D279" s="2" t="s">
        <v>79</v>
      </c>
      <c r="E279">
        <v>2022.1</v>
      </c>
      <c r="F279">
        <v>111</v>
      </c>
      <c r="G279" s="70">
        <v>44440</v>
      </c>
      <c r="H279">
        <v>2544</v>
      </c>
      <c r="I279">
        <v>0</v>
      </c>
      <c r="J279" s="2" t="s">
        <v>0</v>
      </c>
      <c r="K279">
        <v>2539</v>
      </c>
      <c r="L279">
        <v>2549</v>
      </c>
      <c r="M279">
        <v>2546</v>
      </c>
      <c r="N279">
        <v>99.9</v>
      </c>
      <c r="O279" s="2" t="s">
        <v>28</v>
      </c>
      <c r="P279">
        <v>2539</v>
      </c>
      <c r="Q279">
        <v>0</v>
      </c>
      <c r="R279" s="97"/>
      <c r="S279" s="2"/>
    </row>
    <row r="280" spans="1:19" x14ac:dyDescent="0.25">
      <c r="A280" s="96" t="str">
        <f t="shared" si="4"/>
        <v>Western AustraliaCompletions44531Initial</v>
      </c>
      <c r="B280" s="3">
        <v>279</v>
      </c>
      <c r="C280" s="2" t="s">
        <v>9</v>
      </c>
      <c r="D280" s="2" t="s">
        <v>79</v>
      </c>
      <c r="E280">
        <v>2022.2</v>
      </c>
      <c r="F280">
        <v>111</v>
      </c>
      <c r="G280" s="70">
        <v>44531</v>
      </c>
      <c r="H280">
        <v>3055</v>
      </c>
      <c r="I280">
        <v>0</v>
      </c>
      <c r="J280" s="2" t="s">
        <v>31</v>
      </c>
      <c r="K280">
        <v>3025</v>
      </c>
      <c r="L280">
        <v>3085</v>
      </c>
      <c r="M280">
        <v>3068</v>
      </c>
      <c r="N280">
        <v>99.6</v>
      </c>
      <c r="O280" s="2" t="s">
        <v>28</v>
      </c>
      <c r="P280">
        <v>3034</v>
      </c>
      <c r="Q280">
        <v>0</v>
      </c>
      <c r="R280" s="97"/>
      <c r="S280" s="2"/>
    </row>
    <row r="281" spans="1:19" x14ac:dyDescent="0.25">
      <c r="A281" s="96" t="str">
        <f t="shared" si="4"/>
        <v>Western AustraliaCompletions445311st revision</v>
      </c>
      <c r="B281" s="3">
        <v>280</v>
      </c>
      <c r="C281" s="2" t="s">
        <v>9</v>
      </c>
      <c r="D281" s="2" t="s">
        <v>79</v>
      </c>
      <c r="E281">
        <v>2022.2</v>
      </c>
      <c r="F281">
        <v>112</v>
      </c>
      <c r="G281" s="70">
        <v>44531</v>
      </c>
      <c r="H281">
        <v>3067</v>
      </c>
      <c r="I281">
        <v>0</v>
      </c>
      <c r="J281" s="2" t="s">
        <v>0</v>
      </c>
      <c r="K281">
        <v>3061</v>
      </c>
      <c r="L281">
        <v>3073</v>
      </c>
      <c r="M281">
        <v>3068</v>
      </c>
      <c r="N281">
        <v>100</v>
      </c>
      <c r="O281" s="2" t="s">
        <v>28</v>
      </c>
      <c r="P281">
        <v>3062</v>
      </c>
      <c r="Q281">
        <v>0</v>
      </c>
      <c r="R281" s="97"/>
      <c r="S281" s="2"/>
    </row>
    <row r="282" spans="1:19" x14ac:dyDescent="0.25">
      <c r="A282" s="96" t="str">
        <f t="shared" si="4"/>
        <v>Western AustraliaIn-training43891Initial</v>
      </c>
      <c r="B282" s="3">
        <v>281</v>
      </c>
      <c r="C282" s="2" t="s">
        <v>9</v>
      </c>
      <c r="D282" s="2" t="s">
        <v>80</v>
      </c>
      <c r="E282">
        <v>2020.3</v>
      </c>
      <c r="F282">
        <v>104</v>
      </c>
      <c r="G282" s="70">
        <v>43891</v>
      </c>
      <c r="H282">
        <v>28827</v>
      </c>
      <c r="I282">
        <v>0</v>
      </c>
      <c r="J282" s="2" t="s">
        <v>31</v>
      </c>
      <c r="K282">
        <v>28330</v>
      </c>
      <c r="L282">
        <v>29324</v>
      </c>
      <c r="M282">
        <v>28827</v>
      </c>
      <c r="N282">
        <v>100</v>
      </c>
      <c r="O282" s="2" t="s">
        <v>28</v>
      </c>
      <c r="P282">
        <v>28847</v>
      </c>
      <c r="Q282">
        <v>0</v>
      </c>
      <c r="R282" s="97"/>
      <c r="S282" s="2"/>
    </row>
    <row r="283" spans="1:19" x14ac:dyDescent="0.25">
      <c r="A283" s="96" t="str">
        <f t="shared" si="4"/>
        <v>Western AustraliaIn-training438911st revision</v>
      </c>
      <c r="B283" s="3">
        <v>282</v>
      </c>
      <c r="C283" s="2" t="s">
        <v>9</v>
      </c>
      <c r="D283" s="2" t="s">
        <v>80</v>
      </c>
      <c r="E283">
        <v>2020.3</v>
      </c>
      <c r="F283">
        <v>105</v>
      </c>
      <c r="G283" s="70">
        <v>43891</v>
      </c>
      <c r="H283">
        <v>28841</v>
      </c>
      <c r="I283">
        <v>0</v>
      </c>
      <c r="J283" s="2" t="s">
        <v>0</v>
      </c>
      <c r="K283">
        <v>28412</v>
      </c>
      <c r="L283">
        <v>29270</v>
      </c>
      <c r="M283">
        <v>28827</v>
      </c>
      <c r="N283">
        <v>100</v>
      </c>
      <c r="O283" s="2" t="s">
        <v>28</v>
      </c>
      <c r="P283">
        <v>28835</v>
      </c>
      <c r="Q283">
        <v>0</v>
      </c>
      <c r="R283" s="97"/>
      <c r="S283" s="2"/>
    </row>
    <row r="284" spans="1:19" x14ac:dyDescent="0.25">
      <c r="A284" s="96" t="str">
        <f t="shared" si="4"/>
        <v>Western AustraliaIn-training43983Initial</v>
      </c>
      <c r="B284" s="3">
        <v>283</v>
      </c>
      <c r="C284" s="2" t="s">
        <v>9</v>
      </c>
      <c r="D284" s="2" t="s">
        <v>80</v>
      </c>
      <c r="E284">
        <v>2020.4</v>
      </c>
      <c r="F284">
        <v>105</v>
      </c>
      <c r="G284" s="70">
        <v>43983</v>
      </c>
      <c r="H284">
        <v>28300</v>
      </c>
      <c r="I284">
        <v>0</v>
      </c>
      <c r="J284" s="2" t="s">
        <v>31</v>
      </c>
      <c r="K284">
        <v>27853</v>
      </c>
      <c r="L284">
        <v>28747</v>
      </c>
      <c r="M284">
        <v>28260</v>
      </c>
      <c r="N284">
        <v>100.1</v>
      </c>
      <c r="O284" s="2" t="s">
        <v>28</v>
      </c>
      <c r="P284">
        <v>28289</v>
      </c>
      <c r="Q284">
        <v>0</v>
      </c>
      <c r="R284" s="97"/>
      <c r="S284" s="2"/>
    </row>
    <row r="285" spans="1:19" x14ac:dyDescent="0.25">
      <c r="A285" s="96" t="str">
        <f t="shared" si="4"/>
        <v>Western AustraliaIn-training439831st revision</v>
      </c>
      <c r="B285" s="3">
        <v>284</v>
      </c>
      <c r="C285" s="2" t="s">
        <v>9</v>
      </c>
      <c r="D285" s="2" t="s">
        <v>80</v>
      </c>
      <c r="E285">
        <v>2020.4</v>
      </c>
      <c r="F285">
        <v>106</v>
      </c>
      <c r="G285" s="70">
        <v>43983</v>
      </c>
      <c r="H285">
        <v>28343</v>
      </c>
      <c r="I285">
        <v>0</v>
      </c>
      <c r="J285" s="2" t="s">
        <v>0</v>
      </c>
      <c r="K285">
        <v>27960</v>
      </c>
      <c r="L285">
        <v>28726</v>
      </c>
      <c r="M285">
        <v>28260</v>
      </c>
      <c r="N285">
        <v>100.3</v>
      </c>
      <c r="O285" s="2" t="s">
        <v>28</v>
      </c>
      <c r="P285">
        <v>28277</v>
      </c>
      <c r="Q285">
        <v>0</v>
      </c>
      <c r="R285" s="97"/>
      <c r="S285" s="2"/>
    </row>
    <row r="286" spans="1:19" x14ac:dyDescent="0.25">
      <c r="A286" s="96" t="str">
        <f t="shared" si="4"/>
        <v>Western AustraliaIn-training44075Initial</v>
      </c>
      <c r="B286" s="3">
        <v>285</v>
      </c>
      <c r="C286" s="2" t="s">
        <v>9</v>
      </c>
      <c r="D286" s="2" t="s">
        <v>80</v>
      </c>
      <c r="E286">
        <v>2021.1</v>
      </c>
      <c r="F286">
        <v>106</v>
      </c>
      <c r="G286" s="70">
        <v>44075</v>
      </c>
      <c r="H286">
        <v>28333</v>
      </c>
      <c r="I286">
        <v>0</v>
      </c>
      <c r="J286" s="2" t="s">
        <v>31</v>
      </c>
      <c r="K286">
        <v>27921</v>
      </c>
      <c r="L286">
        <v>28745</v>
      </c>
      <c r="M286">
        <v>28215</v>
      </c>
      <c r="N286">
        <v>100.4</v>
      </c>
      <c r="O286" s="2" t="s">
        <v>28</v>
      </c>
      <c r="P286">
        <v>28258</v>
      </c>
      <c r="Q286">
        <v>0</v>
      </c>
      <c r="R286" s="97"/>
      <c r="S286" s="2"/>
    </row>
    <row r="287" spans="1:19" x14ac:dyDescent="0.25">
      <c r="A287" s="96" t="str">
        <f t="shared" si="4"/>
        <v>Western AustraliaIn-training440751st revision</v>
      </c>
      <c r="B287" s="3">
        <v>286</v>
      </c>
      <c r="C287" s="2" t="s">
        <v>9</v>
      </c>
      <c r="D287" s="2" t="s">
        <v>80</v>
      </c>
      <c r="E287">
        <v>2021.1</v>
      </c>
      <c r="F287">
        <v>107</v>
      </c>
      <c r="G287" s="70">
        <v>44075</v>
      </c>
      <c r="H287">
        <v>28164</v>
      </c>
      <c r="I287">
        <v>0</v>
      </c>
      <c r="J287" s="2" t="s">
        <v>0</v>
      </c>
      <c r="K287">
        <v>27990</v>
      </c>
      <c r="L287">
        <v>28338</v>
      </c>
      <c r="M287">
        <v>28215</v>
      </c>
      <c r="N287">
        <v>99.8</v>
      </c>
      <c r="O287" s="2" t="s">
        <v>28</v>
      </c>
      <c r="P287">
        <v>28233</v>
      </c>
      <c r="Q287">
        <v>0</v>
      </c>
      <c r="R287" s="97"/>
      <c r="S287" s="2"/>
    </row>
    <row r="288" spans="1:19" x14ac:dyDescent="0.25">
      <c r="A288" s="96" t="str">
        <f t="shared" si="4"/>
        <v>Western AustraliaIn-training44166Initial</v>
      </c>
      <c r="B288" s="3">
        <v>287</v>
      </c>
      <c r="C288" s="2" t="s">
        <v>9</v>
      </c>
      <c r="D288" s="2" t="s">
        <v>80</v>
      </c>
      <c r="E288">
        <v>2021.2</v>
      </c>
      <c r="F288">
        <v>107</v>
      </c>
      <c r="G288" s="70">
        <v>44166</v>
      </c>
      <c r="H288">
        <v>32300</v>
      </c>
      <c r="I288">
        <v>0</v>
      </c>
      <c r="J288" s="2" t="s">
        <v>31</v>
      </c>
      <c r="K288">
        <v>31982</v>
      </c>
      <c r="L288">
        <v>32618</v>
      </c>
      <c r="M288">
        <v>32380</v>
      </c>
      <c r="N288">
        <v>99.8</v>
      </c>
      <c r="O288" s="2" t="s">
        <v>28</v>
      </c>
      <c r="P288">
        <v>32336</v>
      </c>
      <c r="Q288">
        <v>0</v>
      </c>
      <c r="R288" s="97"/>
      <c r="S288" s="2"/>
    </row>
    <row r="289" spans="1:19" x14ac:dyDescent="0.25">
      <c r="A289" s="96" t="str">
        <f t="shared" si="4"/>
        <v>Western AustraliaIn-training441661st revision</v>
      </c>
      <c r="B289" s="3">
        <v>288</v>
      </c>
      <c r="C289" s="2" t="s">
        <v>9</v>
      </c>
      <c r="D289" s="2" t="s">
        <v>80</v>
      </c>
      <c r="E289">
        <v>2021.2</v>
      </c>
      <c r="F289">
        <v>108</v>
      </c>
      <c r="G289" s="70">
        <v>44166</v>
      </c>
      <c r="H289">
        <v>32352</v>
      </c>
      <c r="I289">
        <v>0</v>
      </c>
      <c r="J289" s="2" t="s">
        <v>0</v>
      </c>
      <c r="K289">
        <v>32128</v>
      </c>
      <c r="L289">
        <v>32576</v>
      </c>
      <c r="M289">
        <v>32380</v>
      </c>
      <c r="N289">
        <v>99.9</v>
      </c>
      <c r="O289" s="2" t="s">
        <v>28</v>
      </c>
      <c r="P289">
        <v>32394</v>
      </c>
      <c r="Q289">
        <v>0</v>
      </c>
      <c r="R289" s="97"/>
      <c r="S289" s="2"/>
    </row>
    <row r="290" spans="1:19" x14ac:dyDescent="0.25">
      <c r="A290" s="96" t="e">
        <f>CONCATENATE(#REF!,#REF!,#REF!,#REF!)</f>
        <v>#REF!</v>
      </c>
      <c r="R290" s="97"/>
      <c r="S290" s="2"/>
    </row>
    <row r="291" spans="1:19" x14ac:dyDescent="0.25">
      <c r="A291" s="96" t="e">
        <f>CONCATENATE(#REF!,#REF!,#REF!,#REF!)</f>
        <v>#REF!</v>
      </c>
      <c r="R291" s="97"/>
      <c r="S291" s="2"/>
    </row>
    <row r="292" spans="1:19" x14ac:dyDescent="0.25">
      <c r="A292" s="96" t="e">
        <f>CONCATENATE(#REF!,#REF!,#REF!,#REF!)</f>
        <v>#REF!</v>
      </c>
      <c r="C292"/>
      <c r="D292"/>
      <c r="R292" s="97"/>
      <c r="S292" s="2"/>
    </row>
    <row r="293" spans="1:19" x14ac:dyDescent="0.25">
      <c r="A293" s="96" t="e">
        <f>CONCATENATE(#REF!,#REF!,#REF!,#REF!)</f>
        <v>#REF!</v>
      </c>
      <c r="C293"/>
      <c r="D293"/>
      <c r="R293" s="97"/>
      <c r="S293" s="2"/>
    </row>
    <row r="294" spans="1:19" x14ac:dyDescent="0.25">
      <c r="A294" s="96" t="e">
        <f>CONCATENATE(#REF!,#REF!,#REF!,#REF!)</f>
        <v>#REF!</v>
      </c>
      <c r="C294"/>
      <c r="D294"/>
      <c r="R294" s="97"/>
      <c r="S294" s="2"/>
    </row>
    <row r="295" spans="1:19" x14ac:dyDescent="0.25">
      <c r="A295" s="96" t="e">
        <f>CONCATENATE(#REF!,#REF!,#REF!,#REF!)</f>
        <v>#REF!</v>
      </c>
      <c r="C295"/>
      <c r="D295"/>
      <c r="R295" s="97"/>
      <c r="S295" s="2"/>
    </row>
    <row r="296" spans="1:19" x14ac:dyDescent="0.25">
      <c r="A296" s="96" t="e">
        <f>CONCATENATE(#REF!,#REF!,#REF!,#REF!)</f>
        <v>#REF!</v>
      </c>
      <c r="C296"/>
      <c r="D296"/>
      <c r="R296" s="97"/>
      <c r="S296" s="2"/>
    </row>
    <row r="297" spans="1:19" x14ac:dyDescent="0.25">
      <c r="A297" s="96" t="e">
        <f>CONCATENATE(#REF!,#REF!,#REF!,#REF!)</f>
        <v>#REF!</v>
      </c>
      <c r="C297"/>
      <c r="D297"/>
      <c r="R297" s="97"/>
      <c r="S297" s="2"/>
    </row>
    <row r="298" spans="1:19" x14ac:dyDescent="0.25">
      <c r="A298" s="96" t="e">
        <f>CONCATENATE(#REF!,#REF!,#REF!,#REF!)</f>
        <v>#REF!</v>
      </c>
      <c r="C298"/>
      <c r="D298"/>
      <c r="R298" s="97"/>
      <c r="S298" s="2"/>
    </row>
    <row r="299" spans="1:19" x14ac:dyDescent="0.25">
      <c r="A299" s="96" t="e">
        <f>CONCATENATE(#REF!,#REF!,#REF!,#REF!)</f>
        <v>#REF!</v>
      </c>
      <c r="C299"/>
      <c r="D299"/>
      <c r="R299" s="97"/>
      <c r="S299" s="2"/>
    </row>
    <row r="300" spans="1:19" x14ac:dyDescent="0.25">
      <c r="A300" s="96" t="e">
        <f>CONCATENATE(#REF!,#REF!,#REF!,#REF!)</f>
        <v>#REF!</v>
      </c>
      <c r="C300"/>
      <c r="D300"/>
      <c r="R300" s="97"/>
      <c r="S300" s="2"/>
    </row>
    <row r="301" spans="1:19" x14ac:dyDescent="0.25">
      <c r="A301" s="96" t="e">
        <f>CONCATENATE(#REF!,#REF!,#REF!,#REF!)</f>
        <v>#REF!</v>
      </c>
      <c r="C301"/>
      <c r="D301"/>
      <c r="R301" s="97"/>
      <c r="S301" s="2"/>
    </row>
    <row r="302" spans="1:19" x14ac:dyDescent="0.25">
      <c r="A302" s="96" t="e">
        <f>CONCATENATE(#REF!,#REF!,#REF!,#REF!)</f>
        <v>#REF!</v>
      </c>
      <c r="C302"/>
      <c r="D302"/>
      <c r="R302" s="97"/>
      <c r="S302" s="2"/>
    </row>
    <row r="303" spans="1:19" x14ac:dyDescent="0.25">
      <c r="A303" s="96" t="e">
        <f>CONCATENATE(#REF!,#REF!,#REF!,#REF!)</f>
        <v>#REF!</v>
      </c>
      <c r="C303"/>
      <c r="D303"/>
      <c r="R303" s="97"/>
      <c r="S303" s="2"/>
    </row>
    <row r="304" spans="1:19" x14ac:dyDescent="0.25">
      <c r="A304" s="96" t="e">
        <f>CONCATENATE(#REF!,#REF!,#REF!,#REF!)</f>
        <v>#REF!</v>
      </c>
      <c r="C304"/>
      <c r="D304"/>
      <c r="R304" s="97"/>
      <c r="S304" s="2"/>
    </row>
    <row r="305" spans="1:19" x14ac:dyDescent="0.25">
      <c r="A305" s="96" t="e">
        <f>CONCATENATE(#REF!,#REF!,#REF!,#REF!)</f>
        <v>#REF!</v>
      </c>
      <c r="C305"/>
      <c r="D305"/>
      <c r="R305" s="97"/>
      <c r="S305" s="2"/>
    </row>
    <row r="306" spans="1:19" x14ac:dyDescent="0.25">
      <c r="A306" s="96" t="e">
        <f>CONCATENATE(#REF!,#REF!,#REF!,#REF!)</f>
        <v>#REF!</v>
      </c>
      <c r="C306"/>
      <c r="D306"/>
      <c r="R306" s="97"/>
      <c r="S306" s="2"/>
    </row>
    <row r="307" spans="1:19" x14ac:dyDescent="0.25">
      <c r="A307" s="96" t="e">
        <f>CONCATENATE(#REF!,#REF!,#REF!,#REF!)</f>
        <v>#REF!</v>
      </c>
      <c r="C307"/>
      <c r="D307"/>
      <c r="R307" s="97"/>
      <c r="S307" s="2"/>
    </row>
    <row r="308" spans="1:19" x14ac:dyDescent="0.25">
      <c r="A308" s="96" t="e">
        <f>CONCATENATE(#REF!,#REF!,#REF!,#REF!)</f>
        <v>#REF!</v>
      </c>
      <c r="C308"/>
      <c r="D308"/>
      <c r="R308" s="97"/>
      <c r="S308" s="2"/>
    </row>
    <row r="309" spans="1:19" x14ac:dyDescent="0.25">
      <c r="A309" s="96" t="e">
        <f>CONCATENATE(#REF!,#REF!,#REF!,#REF!)</f>
        <v>#REF!</v>
      </c>
      <c r="C309"/>
      <c r="D309"/>
      <c r="R309" s="97"/>
      <c r="S309" s="2"/>
    </row>
    <row r="310" spans="1:19" x14ac:dyDescent="0.25">
      <c r="A310" s="96" t="e">
        <f>CONCATENATE(#REF!,#REF!,#REF!,#REF!)</f>
        <v>#REF!</v>
      </c>
      <c r="R310" s="97"/>
      <c r="S310" s="2"/>
    </row>
    <row r="311" spans="1:19" x14ac:dyDescent="0.25">
      <c r="A311" s="96" t="e">
        <f>CONCATENATE(#REF!,#REF!,#REF!,#REF!)</f>
        <v>#REF!</v>
      </c>
      <c r="R311" s="97"/>
      <c r="S311" s="2"/>
    </row>
    <row r="312" spans="1:19" x14ac:dyDescent="0.25">
      <c r="A312" s="96" t="e">
        <f>CONCATENATE(#REF!,#REF!,#REF!,#REF!)</f>
        <v>#REF!</v>
      </c>
      <c r="R312" s="97"/>
      <c r="S312" s="2"/>
    </row>
    <row r="313" spans="1:19" x14ac:dyDescent="0.25">
      <c r="A313" s="96" t="e">
        <f>CONCATENATE(#REF!,#REF!,#REF!,#REF!)</f>
        <v>#REF!</v>
      </c>
      <c r="R313" s="97"/>
      <c r="S313" s="2"/>
    </row>
    <row r="314" spans="1:19" x14ac:dyDescent="0.25">
      <c r="A314" s="96" t="e">
        <f>CONCATENATE(#REF!,#REF!,#REF!,#REF!)</f>
        <v>#REF!</v>
      </c>
      <c r="R314" s="97"/>
      <c r="S314" s="2"/>
    </row>
    <row r="315" spans="1:19" x14ac:dyDescent="0.25">
      <c r="A315" s="96" t="e">
        <f>CONCATENATE(#REF!,#REF!,#REF!,#REF!)</f>
        <v>#REF!</v>
      </c>
      <c r="R315" s="97"/>
      <c r="S315" s="2"/>
    </row>
    <row r="316" spans="1:19" x14ac:dyDescent="0.25">
      <c r="A316" s="96" t="e">
        <f>CONCATENATE(#REF!,#REF!,#REF!,#REF!)</f>
        <v>#REF!</v>
      </c>
      <c r="R316" s="97"/>
      <c r="S316" s="2"/>
    </row>
    <row r="317" spans="1:19" x14ac:dyDescent="0.25">
      <c r="A317" s="96" t="e">
        <f>CONCATENATE(#REF!,#REF!,#REF!,#REF!)</f>
        <v>#REF!</v>
      </c>
      <c r="R317" s="97"/>
      <c r="S317" s="2"/>
    </row>
    <row r="318" spans="1:19" x14ac:dyDescent="0.25">
      <c r="A318" s="96" t="e">
        <f>CONCATENATE(#REF!,#REF!,#REF!,#REF!)</f>
        <v>#REF!</v>
      </c>
      <c r="R318" s="97"/>
      <c r="S318" s="2"/>
    </row>
    <row r="319" spans="1:19" x14ac:dyDescent="0.25">
      <c r="A319" s="96" t="e">
        <f>CONCATENATE(#REF!,#REF!,#REF!,#REF!)</f>
        <v>#REF!</v>
      </c>
      <c r="R319" s="97"/>
      <c r="S319" s="2"/>
    </row>
    <row r="320" spans="1:19" x14ac:dyDescent="0.25">
      <c r="A320" s="96" t="e">
        <f>CONCATENATE(#REF!,#REF!,#REF!,#REF!)</f>
        <v>#REF!</v>
      </c>
      <c r="R320" s="97"/>
      <c r="S320" s="2"/>
    </row>
    <row r="321" spans="1:19" x14ac:dyDescent="0.25">
      <c r="A321" s="96" t="e">
        <f>CONCATENATE(#REF!,#REF!,#REF!,#REF!)</f>
        <v>#REF!</v>
      </c>
      <c r="R321" s="97"/>
      <c r="S321" s="2"/>
    </row>
    <row r="322" spans="1:19" x14ac:dyDescent="0.25">
      <c r="A322" s="96" t="e">
        <f>CONCATENATE(#REF!,#REF!,#REF!,#REF!)</f>
        <v>#REF!</v>
      </c>
      <c r="R322" s="97"/>
      <c r="S322" s="2"/>
    </row>
    <row r="323" spans="1:19" x14ac:dyDescent="0.25">
      <c r="A323" s="96" t="e">
        <f>CONCATENATE(#REF!,#REF!,#REF!,#REF!)</f>
        <v>#REF!</v>
      </c>
      <c r="R323" s="97"/>
      <c r="S323" s="2"/>
    </row>
    <row r="324" spans="1:19" x14ac:dyDescent="0.25">
      <c r="A324" s="96" t="e">
        <f>CONCATENATE(#REF!,#REF!,#REF!,#REF!)</f>
        <v>#REF!</v>
      </c>
      <c r="R324" s="97"/>
      <c r="S324" s="2"/>
    </row>
    <row r="325" spans="1:19" x14ac:dyDescent="0.25">
      <c r="A325" s="96" t="e">
        <f>CONCATENATE(#REF!,#REF!,#REF!,#REF!)</f>
        <v>#REF!</v>
      </c>
      <c r="R325" s="97"/>
      <c r="S325" s="2"/>
    </row>
    <row r="326" spans="1:19" x14ac:dyDescent="0.25">
      <c r="A326" s="96" t="e">
        <f>CONCATENATE(#REF!,#REF!,#REF!,#REF!)</f>
        <v>#REF!</v>
      </c>
      <c r="R326" s="97"/>
      <c r="S326" s="2"/>
    </row>
    <row r="327" spans="1:19" x14ac:dyDescent="0.25">
      <c r="A327" s="96" t="e">
        <f>CONCATENATE(#REF!,#REF!,#REF!,#REF!)</f>
        <v>#REF!</v>
      </c>
      <c r="R327" s="97"/>
      <c r="S327" s="2"/>
    </row>
    <row r="328" spans="1:19" x14ac:dyDescent="0.25">
      <c r="A328" s="96" t="e">
        <f>CONCATENATE(#REF!,#REF!,#REF!,#REF!)</f>
        <v>#REF!</v>
      </c>
      <c r="R328" s="97"/>
      <c r="S328" s="2"/>
    </row>
    <row r="329" spans="1:19" x14ac:dyDescent="0.25">
      <c r="A329" s="96" t="e">
        <f>CONCATENATE(#REF!,#REF!,#REF!,#REF!)</f>
        <v>#REF!</v>
      </c>
      <c r="R329" s="97"/>
      <c r="S329" s="2"/>
    </row>
    <row r="330" spans="1:19" x14ac:dyDescent="0.25">
      <c r="A330" s="96" t="e">
        <f>CONCATENATE(#REF!,#REF!,#REF!,#REF!)</f>
        <v>#REF!</v>
      </c>
      <c r="R330" s="97"/>
      <c r="S330" s="2"/>
    </row>
    <row r="331" spans="1:19" x14ac:dyDescent="0.25">
      <c r="A331" s="96" t="e">
        <f>CONCATENATE(#REF!,#REF!,#REF!,#REF!)</f>
        <v>#REF!</v>
      </c>
      <c r="R331" s="97"/>
      <c r="S331" s="2"/>
    </row>
    <row r="332" spans="1:19" x14ac:dyDescent="0.25">
      <c r="A332" s="96" t="e">
        <f>CONCATENATE(#REF!,#REF!,#REF!,#REF!)</f>
        <v>#REF!</v>
      </c>
      <c r="R332" s="97"/>
      <c r="S332" s="2"/>
    </row>
    <row r="333" spans="1:19" x14ac:dyDescent="0.25">
      <c r="A333" s="96" t="e">
        <f>CONCATENATE(#REF!,#REF!,#REF!,#REF!)</f>
        <v>#REF!</v>
      </c>
      <c r="R333" s="97"/>
      <c r="S333" s="2"/>
    </row>
    <row r="334" spans="1:19" x14ac:dyDescent="0.25">
      <c r="A334" s="96" t="e">
        <f>CONCATENATE(#REF!,#REF!,#REF!,#REF!)</f>
        <v>#REF!</v>
      </c>
      <c r="R334" s="97"/>
      <c r="S334" s="2"/>
    </row>
    <row r="335" spans="1:19" x14ac:dyDescent="0.25">
      <c r="A335" s="96" t="e">
        <f>CONCATENATE(#REF!,#REF!,#REF!,#REF!)</f>
        <v>#REF!</v>
      </c>
      <c r="R335" s="97"/>
      <c r="S335" s="2"/>
    </row>
    <row r="336" spans="1:19" x14ac:dyDescent="0.25">
      <c r="A336" s="96" t="e">
        <f>CONCATENATE(#REF!,#REF!,#REF!,#REF!)</f>
        <v>#REF!</v>
      </c>
      <c r="R336" s="97"/>
      <c r="S336" s="2"/>
    </row>
    <row r="337" spans="1:19" x14ac:dyDescent="0.25">
      <c r="A337" s="96" t="e">
        <f>CONCATENATE(#REF!,#REF!,#REF!,#REF!)</f>
        <v>#REF!</v>
      </c>
      <c r="R337" s="97"/>
      <c r="S337" s="2"/>
    </row>
    <row r="338" spans="1:19" x14ac:dyDescent="0.25">
      <c r="A338" s="96" t="e">
        <f>CONCATENATE(#REF!,#REF!,#REF!,#REF!)</f>
        <v>#REF!</v>
      </c>
      <c r="R338" s="97"/>
      <c r="S338" s="2"/>
    </row>
    <row r="339" spans="1:19" x14ac:dyDescent="0.25">
      <c r="A339" s="96" t="e">
        <f>CONCATENATE(#REF!,#REF!,#REF!,#REF!)</f>
        <v>#REF!</v>
      </c>
      <c r="R339" s="97"/>
      <c r="S339" s="2"/>
    </row>
    <row r="340" spans="1:19" x14ac:dyDescent="0.25">
      <c r="A340" s="96" t="e">
        <f>CONCATENATE(#REF!,#REF!,#REF!,#REF!)</f>
        <v>#REF!</v>
      </c>
      <c r="R340" s="97"/>
      <c r="S340" s="2"/>
    </row>
    <row r="341" spans="1:19" x14ac:dyDescent="0.25">
      <c r="A341" s="96" t="e">
        <f>CONCATENATE(#REF!,#REF!,#REF!,#REF!)</f>
        <v>#REF!</v>
      </c>
      <c r="R341" s="97"/>
      <c r="S341" s="2"/>
    </row>
    <row r="342" spans="1:19" x14ac:dyDescent="0.25">
      <c r="A342" s="96" t="e">
        <f>CONCATENATE(#REF!,#REF!,#REF!,#REF!)</f>
        <v>#REF!</v>
      </c>
      <c r="R342" s="97"/>
      <c r="S342" s="2"/>
    </row>
    <row r="343" spans="1:19" x14ac:dyDescent="0.25">
      <c r="A343" s="96" t="e">
        <f>CONCATENATE(#REF!,#REF!,#REF!,#REF!)</f>
        <v>#REF!</v>
      </c>
      <c r="R343" s="97"/>
      <c r="S343" s="2"/>
    </row>
    <row r="344" spans="1:19" x14ac:dyDescent="0.25">
      <c r="A344" s="96" t="e">
        <f>CONCATENATE(#REF!,#REF!,#REF!,#REF!)</f>
        <v>#REF!</v>
      </c>
      <c r="R344" s="97"/>
      <c r="S344" s="2"/>
    </row>
    <row r="345" spans="1:19" x14ac:dyDescent="0.25">
      <c r="A345" s="96" t="e">
        <f>CONCATENATE(#REF!,#REF!,#REF!,#REF!)</f>
        <v>#REF!</v>
      </c>
      <c r="R345" s="97"/>
      <c r="S345" s="2"/>
    </row>
    <row r="346" spans="1:19" x14ac:dyDescent="0.25">
      <c r="A346" s="96" t="e">
        <f>CONCATENATE(#REF!,#REF!,#REF!,#REF!)</f>
        <v>#REF!</v>
      </c>
      <c r="R346" s="97"/>
      <c r="S346" s="2"/>
    </row>
    <row r="347" spans="1:19" x14ac:dyDescent="0.25">
      <c r="A347" s="96" t="e">
        <f>CONCATENATE(#REF!,#REF!,#REF!,#REF!)</f>
        <v>#REF!</v>
      </c>
      <c r="R347" s="97"/>
      <c r="S347" s="2"/>
    </row>
    <row r="348" spans="1:19" x14ac:dyDescent="0.25">
      <c r="A348" s="96" t="e">
        <f>CONCATENATE(#REF!,#REF!,#REF!,#REF!)</f>
        <v>#REF!</v>
      </c>
      <c r="R348" s="97"/>
      <c r="S348" s="2"/>
    </row>
    <row r="349" spans="1:19" x14ac:dyDescent="0.25">
      <c r="A349" s="96" t="e">
        <f>CONCATENATE(#REF!,#REF!,#REF!,#REF!)</f>
        <v>#REF!</v>
      </c>
      <c r="R349" s="97"/>
      <c r="S349" s="2"/>
    </row>
    <row r="350" spans="1:19" x14ac:dyDescent="0.25">
      <c r="A350" s="96" t="e">
        <f>CONCATENATE(#REF!,#REF!,#REF!,#REF!)</f>
        <v>#REF!</v>
      </c>
      <c r="R350" s="97"/>
      <c r="S350" s="2"/>
    </row>
    <row r="351" spans="1:19" x14ac:dyDescent="0.25">
      <c r="A351" s="96" t="e">
        <f>CONCATENATE(#REF!,#REF!,#REF!,#REF!)</f>
        <v>#REF!</v>
      </c>
      <c r="R351" s="97"/>
      <c r="S351" s="2"/>
    </row>
    <row r="352" spans="1:19" x14ac:dyDescent="0.25">
      <c r="A352" s="96" t="e">
        <f>CONCATENATE(#REF!,#REF!,#REF!,#REF!)</f>
        <v>#REF!</v>
      </c>
      <c r="R352" s="97"/>
      <c r="S352" s="2"/>
    </row>
    <row r="353" spans="1:19" x14ac:dyDescent="0.25">
      <c r="A353" s="96" t="e">
        <f>CONCATENATE(#REF!,#REF!,#REF!,#REF!)</f>
        <v>#REF!</v>
      </c>
      <c r="R353" s="97"/>
      <c r="S353" s="2"/>
    </row>
    <row r="354" spans="1:19" x14ac:dyDescent="0.25">
      <c r="A354" s="96" t="e">
        <f>CONCATENATE(#REF!,#REF!,#REF!,#REF!)</f>
        <v>#REF!</v>
      </c>
      <c r="R354" s="97"/>
      <c r="S354" s="2"/>
    </row>
    <row r="355" spans="1:19" x14ac:dyDescent="0.25">
      <c r="A355" s="96" t="e">
        <f>CONCATENATE(#REF!,#REF!,#REF!,#REF!)</f>
        <v>#REF!</v>
      </c>
      <c r="R355" s="97"/>
      <c r="S355" s="2"/>
    </row>
    <row r="356" spans="1:19" x14ac:dyDescent="0.25">
      <c r="A356" s="96" t="e">
        <f>CONCATENATE(#REF!,#REF!,#REF!,#REF!)</f>
        <v>#REF!</v>
      </c>
      <c r="R356" s="97"/>
      <c r="S356" s="2"/>
    </row>
    <row r="357" spans="1:19" x14ac:dyDescent="0.25">
      <c r="A357" s="96" t="e">
        <f>CONCATENATE(#REF!,#REF!,#REF!,#REF!)</f>
        <v>#REF!</v>
      </c>
      <c r="R357" s="97"/>
      <c r="S357" s="2"/>
    </row>
    <row r="358" spans="1:19" x14ac:dyDescent="0.25">
      <c r="A358" s="96" t="e">
        <f>CONCATENATE(#REF!,#REF!,#REF!,#REF!)</f>
        <v>#REF!</v>
      </c>
      <c r="R358" s="97"/>
      <c r="S358" s="2"/>
    </row>
    <row r="359" spans="1:19" x14ac:dyDescent="0.25">
      <c r="A359" s="96" t="e">
        <f>CONCATENATE(#REF!,#REF!,#REF!,#REF!)</f>
        <v>#REF!</v>
      </c>
      <c r="R359" s="97"/>
      <c r="S359" s="2"/>
    </row>
    <row r="360" spans="1:19" x14ac:dyDescent="0.25">
      <c r="A360" s="96" t="e">
        <f>CONCATENATE(#REF!,#REF!,#REF!,#REF!)</f>
        <v>#REF!</v>
      </c>
      <c r="R360" s="97"/>
      <c r="S360" s="2"/>
    </row>
    <row r="361" spans="1:19" x14ac:dyDescent="0.25">
      <c r="A361" s="96" t="e">
        <f>CONCATENATE(#REF!,#REF!,#REF!,#REF!)</f>
        <v>#REF!</v>
      </c>
      <c r="R361" s="97"/>
      <c r="S361" s="2"/>
    </row>
    <row r="362" spans="1:19" x14ac:dyDescent="0.25">
      <c r="A362" s="96" t="e">
        <f>CONCATENATE(#REF!,#REF!,#REF!,#REF!)</f>
        <v>#REF!</v>
      </c>
      <c r="R362" s="97"/>
      <c r="S362" s="2"/>
    </row>
    <row r="363" spans="1:19" x14ac:dyDescent="0.25">
      <c r="A363" s="96" t="e">
        <f>CONCATENATE(#REF!,#REF!,#REF!,#REF!)</f>
        <v>#REF!</v>
      </c>
      <c r="R363" s="97"/>
      <c r="S363" s="2"/>
    </row>
    <row r="364" spans="1:19" x14ac:dyDescent="0.25">
      <c r="A364" s="96" t="e">
        <f>CONCATENATE(#REF!,#REF!,#REF!,#REF!)</f>
        <v>#REF!</v>
      </c>
      <c r="R364" s="97"/>
      <c r="S364" s="2"/>
    </row>
    <row r="365" spans="1:19" x14ac:dyDescent="0.25">
      <c r="A365" s="96" t="e">
        <f>CONCATENATE(#REF!,#REF!,#REF!,#REF!)</f>
        <v>#REF!</v>
      </c>
      <c r="R365" s="97"/>
      <c r="S365" s="2"/>
    </row>
    <row r="366" spans="1:19" x14ac:dyDescent="0.25">
      <c r="A366" s="96" t="e">
        <f>CONCATENATE(#REF!,#REF!,#REF!,#REF!)</f>
        <v>#REF!</v>
      </c>
      <c r="R366" s="97"/>
      <c r="S366" s="2"/>
    </row>
    <row r="367" spans="1:19" x14ac:dyDescent="0.25">
      <c r="A367" s="96" t="e">
        <f>CONCATENATE(#REF!,#REF!,#REF!,#REF!)</f>
        <v>#REF!</v>
      </c>
      <c r="R367" s="97"/>
      <c r="S367" s="2"/>
    </row>
    <row r="368" spans="1:19" x14ac:dyDescent="0.25">
      <c r="A368" s="96" t="e">
        <f>CONCATENATE(#REF!,#REF!,#REF!,#REF!)</f>
        <v>#REF!</v>
      </c>
      <c r="R368" s="97"/>
      <c r="S368" s="2"/>
    </row>
    <row r="369" spans="1:19" x14ac:dyDescent="0.25">
      <c r="A369" s="96" t="e">
        <f>CONCATENATE(#REF!,#REF!,#REF!,#REF!)</f>
        <v>#REF!</v>
      </c>
      <c r="R369" s="97"/>
      <c r="S369" s="2"/>
    </row>
    <row r="370" spans="1:19" x14ac:dyDescent="0.25">
      <c r="A370" s="96" t="e">
        <f>CONCATENATE(#REF!,#REF!,#REF!,#REF!)</f>
        <v>#REF!</v>
      </c>
      <c r="R370" s="97"/>
      <c r="S370" s="2"/>
    </row>
    <row r="371" spans="1:19" x14ac:dyDescent="0.25">
      <c r="A371" s="96" t="e">
        <f>CONCATENATE(#REF!,#REF!,#REF!,#REF!)</f>
        <v>#REF!</v>
      </c>
      <c r="R371" s="97"/>
      <c r="S371" s="2"/>
    </row>
    <row r="372" spans="1:19" x14ac:dyDescent="0.25">
      <c r="A372" s="96" t="e">
        <f>CONCATENATE(#REF!,#REF!,#REF!,#REF!)</f>
        <v>#REF!</v>
      </c>
      <c r="R372" s="97"/>
      <c r="S372" s="2"/>
    </row>
    <row r="373" spans="1:19" x14ac:dyDescent="0.25">
      <c r="A373" s="96" t="e">
        <f>CONCATENATE(#REF!,#REF!,#REF!,#REF!)</f>
        <v>#REF!</v>
      </c>
      <c r="R373" s="97"/>
      <c r="S373" s="2"/>
    </row>
    <row r="374" spans="1:19" x14ac:dyDescent="0.25">
      <c r="A374" s="96" t="e">
        <f>CONCATENATE(#REF!,#REF!,#REF!,#REF!)</f>
        <v>#REF!</v>
      </c>
      <c r="R374" s="97"/>
      <c r="S374" s="2"/>
    </row>
    <row r="375" spans="1:19" x14ac:dyDescent="0.25">
      <c r="A375" s="96" t="e">
        <f>CONCATENATE(#REF!,#REF!,#REF!,#REF!)</f>
        <v>#REF!</v>
      </c>
      <c r="R375" s="97"/>
      <c r="S375" s="2"/>
    </row>
    <row r="376" spans="1:19" x14ac:dyDescent="0.25">
      <c r="A376" s="96" t="e">
        <f>CONCATENATE(#REF!,#REF!,#REF!,#REF!)</f>
        <v>#REF!</v>
      </c>
      <c r="R376" s="97"/>
      <c r="S376" s="2"/>
    </row>
    <row r="377" spans="1:19" x14ac:dyDescent="0.25">
      <c r="A377" s="96" t="e">
        <f>CONCATENATE(#REF!,#REF!,#REF!,#REF!)</f>
        <v>#REF!</v>
      </c>
      <c r="R377" s="97"/>
      <c r="S377" s="2"/>
    </row>
    <row r="378" spans="1:19" x14ac:dyDescent="0.25">
      <c r="A378" s="96" t="e">
        <f>CONCATENATE(#REF!,#REF!,#REF!,#REF!)</f>
        <v>#REF!</v>
      </c>
      <c r="R378" s="97"/>
      <c r="S378" s="2"/>
    </row>
    <row r="379" spans="1:19" x14ac:dyDescent="0.25">
      <c r="A379" s="96" t="e">
        <f>CONCATENATE(#REF!,#REF!,#REF!,#REF!)</f>
        <v>#REF!</v>
      </c>
      <c r="R379" s="97"/>
      <c r="S379" s="2"/>
    </row>
    <row r="380" spans="1:19" x14ac:dyDescent="0.25">
      <c r="A380" s="96" t="e">
        <f>CONCATENATE(#REF!,#REF!,#REF!,#REF!)</f>
        <v>#REF!</v>
      </c>
      <c r="R380" s="97"/>
      <c r="S380" s="2"/>
    </row>
    <row r="381" spans="1:19" x14ac:dyDescent="0.25">
      <c r="A381" s="96" t="e">
        <f>CONCATENATE(#REF!,#REF!,#REF!,#REF!)</f>
        <v>#REF!</v>
      </c>
      <c r="R381" s="97"/>
      <c r="S381" s="2"/>
    </row>
    <row r="382" spans="1:19" x14ac:dyDescent="0.25">
      <c r="A382" s="96" t="e">
        <f>CONCATENATE(#REF!,#REF!,#REF!,#REF!)</f>
        <v>#REF!</v>
      </c>
      <c r="R382" s="97"/>
      <c r="S382" s="2"/>
    </row>
    <row r="383" spans="1:19" x14ac:dyDescent="0.25">
      <c r="A383" s="96" t="e">
        <f>CONCATENATE(#REF!,#REF!,#REF!,#REF!)</f>
        <v>#REF!</v>
      </c>
      <c r="R383" s="97"/>
      <c r="S383" s="2"/>
    </row>
    <row r="384" spans="1:19" x14ac:dyDescent="0.25">
      <c r="A384" s="96" t="e">
        <f>CONCATENATE(#REF!,#REF!,#REF!,#REF!)</f>
        <v>#REF!</v>
      </c>
      <c r="R384" s="97"/>
      <c r="S384" s="2"/>
    </row>
    <row r="385" spans="1:19" x14ac:dyDescent="0.25">
      <c r="A385" s="96" t="e">
        <f>CONCATENATE(#REF!,#REF!,#REF!,#REF!)</f>
        <v>#REF!</v>
      </c>
      <c r="R385" s="97"/>
      <c r="S385" s="2"/>
    </row>
    <row r="386" spans="1:19" x14ac:dyDescent="0.25">
      <c r="A386" s="96" t="e">
        <f>CONCATENATE(#REF!,#REF!,#REF!,#REF!)</f>
        <v>#REF!</v>
      </c>
      <c r="R386" s="97"/>
      <c r="S386" s="2"/>
    </row>
    <row r="387" spans="1:19" x14ac:dyDescent="0.25">
      <c r="A387" s="96" t="e">
        <f>CONCATENATE(#REF!,#REF!,#REF!,#REF!)</f>
        <v>#REF!</v>
      </c>
      <c r="R387" s="97"/>
      <c r="S387" s="2"/>
    </row>
    <row r="388" spans="1:19" x14ac:dyDescent="0.25">
      <c r="A388" s="96" t="e">
        <f>CONCATENATE(#REF!,#REF!,#REF!,#REF!)</f>
        <v>#REF!</v>
      </c>
      <c r="R388" s="97"/>
      <c r="S388" s="2"/>
    </row>
    <row r="389" spans="1:19" x14ac:dyDescent="0.25">
      <c r="A389" s="96" t="e">
        <f>CONCATENATE(#REF!,#REF!,#REF!,#REF!)</f>
        <v>#REF!</v>
      </c>
      <c r="R389" s="97"/>
      <c r="S389" s="2"/>
    </row>
    <row r="390" spans="1:19" x14ac:dyDescent="0.25">
      <c r="A390" s="96" t="e">
        <f>CONCATENATE(#REF!,#REF!,#REF!,#REF!)</f>
        <v>#REF!</v>
      </c>
      <c r="R390" s="97"/>
      <c r="S390" s="2"/>
    </row>
    <row r="391" spans="1:19" x14ac:dyDescent="0.25">
      <c r="A391" s="96" t="e">
        <f>CONCATENATE(#REF!,#REF!,#REF!,#REF!)</f>
        <v>#REF!</v>
      </c>
      <c r="R391" s="97"/>
      <c r="S391" s="2"/>
    </row>
    <row r="392" spans="1:19" x14ac:dyDescent="0.25">
      <c r="A392" s="96" t="e">
        <f>CONCATENATE(#REF!,#REF!,#REF!,#REF!)</f>
        <v>#REF!</v>
      </c>
      <c r="R392" s="97"/>
      <c r="S392" s="2"/>
    </row>
    <row r="393" spans="1:19" x14ac:dyDescent="0.25">
      <c r="A393" s="96" t="e">
        <f>CONCATENATE(#REF!,#REF!,#REF!,#REF!)</f>
        <v>#REF!</v>
      </c>
      <c r="R393" s="97"/>
      <c r="S393" s="2"/>
    </row>
    <row r="394" spans="1:19" x14ac:dyDescent="0.25">
      <c r="A394" s="96" t="e">
        <f>CONCATENATE(#REF!,#REF!,#REF!,#REF!)</f>
        <v>#REF!</v>
      </c>
      <c r="R394" s="97"/>
      <c r="S394" s="2"/>
    </row>
    <row r="395" spans="1:19" x14ac:dyDescent="0.25">
      <c r="A395" s="96" t="e">
        <f>CONCATENATE(#REF!,#REF!,#REF!,#REF!)</f>
        <v>#REF!</v>
      </c>
      <c r="R395" s="97"/>
      <c r="S395" s="2"/>
    </row>
    <row r="396" spans="1:19" x14ac:dyDescent="0.25">
      <c r="A396" s="96" t="e">
        <f>CONCATENATE(#REF!,#REF!,#REF!,#REF!)</f>
        <v>#REF!</v>
      </c>
      <c r="R396" s="97"/>
      <c r="S396" s="2"/>
    </row>
    <row r="397" spans="1:19" x14ac:dyDescent="0.25">
      <c r="A397" s="96" t="e">
        <f>CONCATENATE(#REF!,#REF!,#REF!,#REF!)</f>
        <v>#REF!</v>
      </c>
      <c r="R397" s="97"/>
      <c r="S397" s="2"/>
    </row>
    <row r="398" spans="1:19" x14ac:dyDescent="0.25">
      <c r="A398" s="96" t="e">
        <f>CONCATENATE(#REF!,#REF!,#REF!,#REF!)</f>
        <v>#REF!</v>
      </c>
      <c r="R398" s="97"/>
      <c r="S398" s="2"/>
    </row>
    <row r="399" spans="1:19" x14ac:dyDescent="0.25">
      <c r="A399" s="96" t="e">
        <f>CONCATENATE(#REF!,#REF!,#REF!,#REF!)</f>
        <v>#REF!</v>
      </c>
      <c r="R399" s="97"/>
      <c r="S399" s="2"/>
    </row>
    <row r="400" spans="1:19" x14ac:dyDescent="0.25">
      <c r="A400" s="96" t="e">
        <f>CONCATENATE(#REF!,#REF!,#REF!,#REF!)</f>
        <v>#REF!</v>
      </c>
      <c r="R400" s="97"/>
      <c r="S400" s="2"/>
    </row>
    <row r="401" spans="1:19" x14ac:dyDescent="0.25">
      <c r="A401" s="96" t="e">
        <f>CONCATENATE(#REF!,#REF!,#REF!,#REF!)</f>
        <v>#REF!</v>
      </c>
      <c r="R401" s="97"/>
      <c r="S401" s="2"/>
    </row>
    <row r="402" spans="1:19" x14ac:dyDescent="0.25">
      <c r="A402" s="96" t="e">
        <f>CONCATENATE(#REF!,#REF!,#REF!,#REF!)</f>
        <v>#REF!</v>
      </c>
      <c r="R402" s="97"/>
      <c r="S402" s="2"/>
    </row>
    <row r="403" spans="1:19" x14ac:dyDescent="0.25">
      <c r="A403" s="96" t="e">
        <f>CONCATENATE(#REF!,#REF!,#REF!,#REF!)</f>
        <v>#REF!</v>
      </c>
      <c r="R403" s="97"/>
      <c r="S403" s="2"/>
    </row>
    <row r="404" spans="1:19" x14ac:dyDescent="0.25">
      <c r="A404" s="96" t="e">
        <f>CONCATENATE(#REF!,#REF!,#REF!,#REF!)</f>
        <v>#REF!</v>
      </c>
      <c r="R404" s="97"/>
      <c r="S404" s="2"/>
    </row>
    <row r="405" spans="1:19" x14ac:dyDescent="0.25">
      <c r="A405" s="96" t="e">
        <f>CONCATENATE(#REF!,#REF!,#REF!,#REF!)</f>
        <v>#REF!</v>
      </c>
      <c r="R405" s="97"/>
      <c r="S405" s="2"/>
    </row>
    <row r="406" spans="1:19" x14ac:dyDescent="0.25">
      <c r="A406" s="96" t="e">
        <f>CONCATENATE(#REF!,#REF!,#REF!,#REF!)</f>
        <v>#REF!</v>
      </c>
      <c r="R406" s="97"/>
      <c r="S406" s="2"/>
    </row>
    <row r="407" spans="1:19" x14ac:dyDescent="0.25">
      <c r="A407" s="96" t="e">
        <f>CONCATENATE(#REF!,#REF!,#REF!,#REF!)</f>
        <v>#REF!</v>
      </c>
      <c r="R407" s="97"/>
      <c r="S407" s="2"/>
    </row>
    <row r="408" spans="1:19" x14ac:dyDescent="0.25">
      <c r="A408" s="96" t="e">
        <f>CONCATENATE(#REF!,#REF!,#REF!,#REF!)</f>
        <v>#REF!</v>
      </c>
      <c r="R408" s="97"/>
      <c r="S408" s="2"/>
    </row>
    <row r="409" spans="1:19" x14ac:dyDescent="0.25">
      <c r="A409" s="96" t="e">
        <f>CONCATENATE(#REF!,#REF!,#REF!,#REF!)</f>
        <v>#REF!</v>
      </c>
      <c r="R409" s="97"/>
      <c r="S409" s="2"/>
    </row>
    <row r="410" spans="1:19" x14ac:dyDescent="0.25">
      <c r="A410" s="96" t="e">
        <f>CONCATENATE(#REF!,#REF!,#REF!,#REF!)</f>
        <v>#REF!</v>
      </c>
      <c r="R410" s="97"/>
      <c r="S410" s="2"/>
    </row>
    <row r="411" spans="1:19" x14ac:dyDescent="0.25">
      <c r="A411" s="96" t="e">
        <f>CONCATENATE(#REF!,#REF!,#REF!,#REF!)</f>
        <v>#REF!</v>
      </c>
      <c r="R411" s="97"/>
      <c r="S411" s="2"/>
    </row>
    <row r="412" spans="1:19" x14ac:dyDescent="0.25">
      <c r="A412" s="96" t="e">
        <f>CONCATENATE(#REF!,#REF!,#REF!,#REF!)</f>
        <v>#REF!</v>
      </c>
      <c r="R412" s="97"/>
      <c r="S412" s="2"/>
    </row>
    <row r="413" spans="1:19" x14ac:dyDescent="0.25">
      <c r="A413" s="96" t="e">
        <f>CONCATENATE(#REF!,#REF!,#REF!,#REF!)</f>
        <v>#REF!</v>
      </c>
      <c r="R413" s="97"/>
      <c r="S413" s="2"/>
    </row>
    <row r="414" spans="1:19" x14ac:dyDescent="0.25">
      <c r="A414" s="96" t="e">
        <f>CONCATENATE(#REF!,#REF!,#REF!,#REF!)</f>
        <v>#REF!</v>
      </c>
      <c r="R414" s="97"/>
      <c r="S414" s="2"/>
    </row>
    <row r="415" spans="1:19" x14ac:dyDescent="0.25">
      <c r="A415" s="96" t="e">
        <f>CONCATENATE(#REF!,#REF!,#REF!,#REF!)</f>
        <v>#REF!</v>
      </c>
      <c r="R415" s="97"/>
      <c r="S415" s="2"/>
    </row>
    <row r="416" spans="1:19" x14ac:dyDescent="0.25">
      <c r="A416" s="96" t="e">
        <f>CONCATENATE(#REF!,#REF!,#REF!,#REF!)</f>
        <v>#REF!</v>
      </c>
      <c r="R416" s="97"/>
      <c r="S416" s="2"/>
    </row>
    <row r="417" spans="1:19" x14ac:dyDescent="0.25">
      <c r="A417" s="96" t="e">
        <f>CONCATENATE(#REF!,#REF!,#REF!,#REF!)</f>
        <v>#REF!</v>
      </c>
      <c r="R417" s="97"/>
      <c r="S417" s="2"/>
    </row>
    <row r="418" spans="1:19" x14ac:dyDescent="0.25">
      <c r="A418" s="96" t="e">
        <f>CONCATENATE(#REF!,#REF!,#REF!,#REF!)</f>
        <v>#REF!</v>
      </c>
      <c r="R418" s="97"/>
      <c r="S418" s="2"/>
    </row>
    <row r="419" spans="1:19" x14ac:dyDescent="0.25">
      <c r="A419" s="96" t="e">
        <f>CONCATENATE(#REF!,#REF!,#REF!,#REF!)</f>
        <v>#REF!</v>
      </c>
      <c r="R419" s="95"/>
    </row>
    <row r="420" spans="1:19" x14ac:dyDescent="0.25">
      <c r="A420" s="96" t="e">
        <f>CONCATENATE(#REF!,#REF!,#REF!,#REF!)</f>
        <v>#REF!</v>
      </c>
      <c r="R420" s="95"/>
    </row>
  </sheetData>
  <sheetProtection sort="0" autoFilter="0" pivotTables="0"/>
  <mergeCells count="2">
    <mergeCell ref="T3:W4"/>
    <mergeCell ref="Y3:Z3"/>
  </mergeCells>
  <pageMargins left="0.7" right="0.7" top="0.75" bottom="0.75" header="0.3" footer="0.3"/>
  <drawing r:id="rId1"/>
  <legacyDrawing r:id="rId2"/>
  <controls>
    <mc:AlternateContent xmlns:mc="http://schemas.openxmlformats.org/markup-compatibility/2006">
      <mc:Choice Requires="x14">
        <control shapeId="3203" r:id="rId3" name="CommandButton1">
          <controlPr defaultSize="0" autoLine="0" autoPict="0" r:id="rId4">
            <anchor moveWithCells="1">
              <from>
                <xdr:col>19</xdr:col>
                <xdr:colOff>85725</xdr:colOff>
                <xdr:row>6</xdr:row>
                <xdr:rowOff>19050</xdr:rowOff>
              </from>
              <to>
                <xdr:col>23</xdr:col>
                <xdr:colOff>104775</xdr:colOff>
                <xdr:row>8</xdr:row>
                <xdr:rowOff>19050</xdr:rowOff>
              </to>
            </anchor>
          </controlPr>
        </control>
      </mc:Choice>
      <mc:Fallback>
        <control shapeId="3203" r:id="rId3" name="CommandButton1"/>
      </mc:Fallback>
    </mc:AlternateContent>
  </controls>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B1:V47"/>
  <sheetViews>
    <sheetView showGridLines="0" showRowColHeaders="0" zoomScale="90" zoomScaleNormal="90" workbookViewId="0">
      <selection activeCell="B2" sqref="B2:K3"/>
    </sheetView>
  </sheetViews>
  <sheetFormatPr defaultRowHeight="15" x14ac:dyDescent="0.25"/>
  <cols>
    <col min="1" max="1" width="3.85546875" customWidth="1"/>
    <col min="2" max="2" width="8.140625" customWidth="1"/>
    <col min="3" max="3" width="2" customWidth="1"/>
    <col min="4" max="4" width="7.5703125" customWidth="1"/>
    <col min="5" max="5" width="2" customWidth="1"/>
    <col min="6" max="6" width="7.5703125" customWidth="1"/>
    <col min="7" max="7" width="4.28515625" customWidth="1"/>
    <col min="8" max="11" width="22.85546875" customWidth="1"/>
    <col min="12" max="12" width="17" customWidth="1"/>
    <col min="22" max="22" width="10.7109375" customWidth="1"/>
  </cols>
  <sheetData>
    <row r="1" spans="2:22" ht="9.75" customHeight="1" x14ac:dyDescent="0.25"/>
    <row r="2" spans="2:22" ht="17.25" customHeight="1" x14ac:dyDescent="0.25">
      <c r="B2" s="241" t="s">
        <v>125</v>
      </c>
      <c r="C2" s="247"/>
      <c r="D2" s="247"/>
      <c r="E2" s="247"/>
      <c r="F2" s="247"/>
      <c r="G2" s="247"/>
      <c r="H2" s="247"/>
      <c r="I2" s="247"/>
      <c r="J2" s="247"/>
      <c r="K2" s="247"/>
    </row>
    <row r="3" spans="2:22" ht="17.25" customHeight="1" x14ac:dyDescent="0.25">
      <c r="B3" s="247"/>
      <c r="C3" s="247"/>
      <c r="D3" s="247"/>
      <c r="E3" s="247"/>
      <c r="F3" s="247"/>
      <c r="G3" s="247"/>
      <c r="H3" s="247"/>
      <c r="I3" s="247"/>
      <c r="J3" s="247"/>
      <c r="K3" s="247"/>
    </row>
    <row r="4" spans="2:22" ht="9.75" customHeight="1" x14ac:dyDescent="0.25">
      <c r="B4" s="120"/>
      <c r="C4" s="120"/>
      <c r="D4" s="120"/>
      <c r="E4" s="120"/>
      <c r="F4" s="120"/>
      <c r="G4" s="120"/>
      <c r="H4" s="120"/>
      <c r="I4" s="120"/>
      <c r="J4" s="120"/>
      <c r="K4" s="120"/>
    </row>
    <row r="5" spans="2:22" ht="18" customHeight="1" x14ac:dyDescent="0.25">
      <c r="B5" s="242" t="s">
        <v>116</v>
      </c>
      <c r="C5" s="242"/>
      <c r="D5" s="242"/>
      <c r="E5" s="242"/>
      <c r="F5" s="242"/>
      <c r="G5" s="242"/>
      <c r="H5" s="242"/>
      <c r="I5" s="242"/>
      <c r="J5" s="242"/>
      <c r="K5" s="242"/>
      <c r="N5" s="130"/>
      <c r="O5" s="130"/>
      <c r="P5" s="130"/>
      <c r="Q5" s="130"/>
      <c r="R5" s="130"/>
      <c r="S5" s="130"/>
      <c r="T5" s="130"/>
      <c r="U5" s="130"/>
      <c r="V5" s="130"/>
    </row>
    <row r="6" spans="2:22" ht="16.5" customHeight="1" x14ac:dyDescent="0.25">
      <c r="L6" s="176" t="s">
        <v>92</v>
      </c>
      <c r="M6" s="130"/>
      <c r="N6" s="130"/>
      <c r="O6" s="130"/>
      <c r="P6" s="130"/>
      <c r="Q6" s="130"/>
      <c r="R6" s="130"/>
      <c r="S6" s="130"/>
      <c r="T6" s="130"/>
      <c r="U6" s="130"/>
      <c r="V6" s="130"/>
    </row>
    <row r="7" spans="2:22" ht="17.25" customHeight="1" x14ac:dyDescent="0.25">
      <c r="B7" s="135" t="s">
        <v>106</v>
      </c>
      <c r="L7" s="176" t="s">
        <v>90</v>
      </c>
    </row>
    <row r="8" spans="2:22" ht="8.25" customHeight="1" x14ac:dyDescent="0.25"/>
    <row r="9" spans="2:22" x14ac:dyDescent="0.25">
      <c r="B9" s="249" t="s">
        <v>154</v>
      </c>
      <c r="C9" s="249"/>
      <c r="D9" s="249"/>
      <c r="E9" s="249"/>
      <c r="F9" s="249"/>
      <c r="G9" s="249"/>
      <c r="H9" s="249"/>
      <c r="I9" s="249"/>
      <c r="J9" s="249"/>
      <c r="K9" s="249"/>
    </row>
    <row r="10" spans="2:22" x14ac:dyDescent="0.25">
      <c r="B10" s="249"/>
      <c r="C10" s="249"/>
      <c r="D10" s="249"/>
      <c r="E10" s="249"/>
      <c r="F10" s="249"/>
      <c r="G10" s="249"/>
      <c r="H10" s="249"/>
      <c r="I10" s="249"/>
      <c r="J10" s="249"/>
      <c r="K10" s="249"/>
    </row>
    <row r="11" spans="2:22" ht="14.25" customHeight="1" x14ac:dyDescent="0.25">
      <c r="B11" s="249"/>
      <c r="C11" s="249"/>
      <c r="D11" s="249"/>
      <c r="E11" s="249"/>
      <c r="F11" s="249"/>
      <c r="G11" s="249"/>
      <c r="H11" s="249"/>
      <c r="I11" s="249"/>
      <c r="J11" s="249"/>
      <c r="K11" s="249"/>
    </row>
    <row r="12" spans="2:22" ht="8.25" customHeight="1" x14ac:dyDescent="0.25"/>
    <row r="13" spans="2:22" ht="16.5" customHeight="1" x14ac:dyDescent="0.25">
      <c r="B13" s="135" t="s">
        <v>107</v>
      </c>
    </row>
    <row r="14" spans="2:22" ht="8.25" customHeight="1" x14ac:dyDescent="0.25"/>
    <row r="15" spans="2:22" ht="23.25" customHeight="1" x14ac:dyDescent="0.25">
      <c r="B15" s="249" t="s">
        <v>118</v>
      </c>
      <c r="C15" s="249"/>
      <c r="D15" s="249"/>
      <c r="E15" s="249"/>
      <c r="F15" s="249"/>
      <c r="G15" s="249"/>
      <c r="H15" s="249"/>
      <c r="I15" s="249"/>
      <c r="J15" s="249"/>
      <c r="K15" s="249"/>
    </row>
    <row r="16" spans="2:22" ht="24.75" customHeight="1" x14ac:dyDescent="0.25">
      <c r="B16" s="249"/>
      <c r="C16" s="249"/>
      <c r="D16" s="249"/>
      <c r="E16" s="249"/>
      <c r="F16" s="249"/>
      <c r="G16" s="249"/>
      <c r="H16" s="249"/>
      <c r="I16" s="249"/>
      <c r="J16" s="249"/>
      <c r="K16" s="249"/>
    </row>
    <row r="17" spans="2:12" ht="24" customHeight="1" x14ac:dyDescent="0.25">
      <c r="B17" s="249"/>
      <c r="C17" s="249"/>
      <c r="D17" s="249"/>
      <c r="E17" s="249"/>
      <c r="F17" s="249"/>
      <c r="G17" s="249"/>
      <c r="H17" s="249"/>
      <c r="I17" s="249"/>
      <c r="J17" s="249"/>
      <c r="K17" s="249"/>
    </row>
    <row r="18" spans="2:12" ht="8.25" customHeight="1" x14ac:dyDescent="0.25">
      <c r="B18" s="121"/>
      <c r="C18" s="121"/>
      <c r="D18" s="121"/>
      <c r="E18" s="121"/>
      <c r="F18" s="121"/>
      <c r="G18" s="121"/>
      <c r="H18" s="121"/>
      <c r="I18" s="121"/>
      <c r="J18" s="121"/>
      <c r="K18" s="121"/>
    </row>
    <row r="19" spans="2:12" ht="16.5" customHeight="1" x14ac:dyDescent="0.25">
      <c r="B19" s="135" t="s">
        <v>134</v>
      </c>
      <c r="C19" s="135"/>
      <c r="D19" s="135"/>
      <c r="E19" s="135"/>
      <c r="F19" s="135"/>
      <c r="G19" s="135"/>
      <c r="H19" s="135"/>
      <c r="I19" s="121"/>
      <c r="J19" s="121"/>
      <c r="K19" s="121"/>
    </row>
    <row r="20" spans="2:12" ht="8.25" customHeight="1" x14ac:dyDescent="0.25">
      <c r="B20" s="121"/>
      <c r="C20" s="121"/>
      <c r="D20" s="121"/>
      <c r="E20" s="121"/>
      <c r="F20" s="121"/>
      <c r="G20" s="121"/>
      <c r="H20" s="121"/>
      <c r="I20" s="121"/>
      <c r="J20" s="121"/>
      <c r="K20" s="121"/>
    </row>
    <row r="21" spans="2:12" ht="26.25" customHeight="1" x14ac:dyDescent="0.25">
      <c r="B21" s="249" t="s">
        <v>160</v>
      </c>
      <c r="C21" s="249"/>
      <c r="D21" s="249"/>
      <c r="E21" s="249"/>
      <c r="F21" s="249"/>
      <c r="G21" s="249"/>
      <c r="H21" s="249"/>
      <c r="I21" s="249"/>
      <c r="J21" s="249"/>
      <c r="K21" s="249"/>
    </row>
    <row r="22" spans="2:12" ht="15.75" customHeight="1" x14ac:dyDescent="0.25">
      <c r="B22" s="249"/>
      <c r="C22" s="249"/>
      <c r="D22" s="249"/>
      <c r="E22" s="249"/>
      <c r="F22" s="249"/>
      <c r="G22" s="249"/>
      <c r="H22" s="249"/>
      <c r="I22" s="249"/>
      <c r="J22" s="249"/>
      <c r="K22" s="249"/>
    </row>
    <row r="23" spans="2:12" ht="29.25" customHeight="1" x14ac:dyDescent="0.25">
      <c r="B23" s="249"/>
      <c r="C23" s="249"/>
      <c r="D23" s="249"/>
      <c r="E23" s="249"/>
      <c r="F23" s="249"/>
      <c r="G23" s="249"/>
      <c r="H23" s="249"/>
      <c r="I23" s="249"/>
      <c r="J23" s="249"/>
      <c r="K23" s="249"/>
    </row>
    <row r="24" spans="2:12" ht="15.75" customHeight="1" x14ac:dyDescent="0.25">
      <c r="B24" s="250" t="s">
        <v>155</v>
      </c>
      <c r="C24" s="250"/>
      <c r="D24" s="250"/>
      <c r="E24" s="250"/>
      <c r="F24" s="250"/>
      <c r="G24" s="250"/>
      <c r="H24" s="250"/>
      <c r="I24" s="250"/>
      <c r="J24" s="250"/>
      <c r="K24" s="121"/>
    </row>
    <row r="25" spans="2:12" ht="8.25" customHeight="1" x14ac:dyDescent="0.25"/>
    <row r="26" spans="2:12" ht="15.75" x14ac:dyDescent="0.25">
      <c r="B26" s="135" t="s">
        <v>110</v>
      </c>
    </row>
    <row r="27" spans="2:12" ht="8.25" customHeight="1" x14ac:dyDescent="0.25"/>
    <row r="28" spans="2:12" ht="20.25" customHeight="1" x14ac:dyDescent="0.25">
      <c r="B28" s="248" t="s">
        <v>130</v>
      </c>
      <c r="C28" s="248"/>
      <c r="D28" s="248"/>
      <c r="E28" s="248"/>
      <c r="F28" s="248"/>
      <c r="G28" s="248"/>
      <c r="H28" s="248"/>
      <c r="I28" s="248"/>
      <c r="J28" s="248"/>
      <c r="K28" s="248"/>
    </row>
    <row r="29" spans="2:12" ht="23.25" customHeight="1" x14ac:dyDescent="0.25">
      <c r="B29" s="248"/>
      <c r="C29" s="248"/>
      <c r="D29" s="248"/>
      <c r="E29" s="248"/>
      <c r="F29" s="248"/>
      <c r="G29" s="248"/>
      <c r="H29" s="248"/>
      <c r="I29" s="248"/>
      <c r="J29" s="248"/>
      <c r="K29" s="248"/>
    </row>
    <row r="30" spans="2:12" ht="8.25" customHeight="1" x14ac:dyDescent="0.25">
      <c r="L30" s="137"/>
    </row>
    <row r="31" spans="2:12" ht="15.75" x14ac:dyDescent="0.25">
      <c r="B31" s="135" t="s">
        <v>112</v>
      </c>
    </row>
    <row r="32" spans="2:12" ht="8.25" customHeight="1" x14ac:dyDescent="0.25">
      <c r="B32" s="134"/>
    </row>
    <row r="33" spans="2:11" ht="34.5" customHeight="1" x14ac:dyDescent="0.25">
      <c r="B33" s="248" t="s">
        <v>156</v>
      </c>
      <c r="C33" s="248"/>
      <c r="D33" s="248"/>
      <c r="E33" s="248"/>
      <c r="F33" s="248"/>
      <c r="G33" s="248"/>
      <c r="H33" s="248"/>
      <c r="I33" s="248"/>
      <c r="J33" s="248"/>
      <c r="K33" s="248"/>
    </row>
    <row r="34" spans="2:11" ht="36" customHeight="1" x14ac:dyDescent="0.25">
      <c r="B34" s="248"/>
      <c r="C34" s="248"/>
      <c r="D34" s="248"/>
      <c r="E34" s="248"/>
      <c r="F34" s="248"/>
      <c r="G34" s="248"/>
      <c r="H34" s="248"/>
      <c r="I34" s="248"/>
      <c r="J34" s="248"/>
      <c r="K34" s="248"/>
    </row>
    <row r="35" spans="2:11" ht="30" customHeight="1" x14ac:dyDescent="0.25">
      <c r="B35" s="248"/>
      <c r="C35" s="248"/>
      <c r="D35" s="248"/>
      <c r="E35" s="248"/>
      <c r="F35" s="248"/>
      <c r="G35" s="248"/>
      <c r="H35" s="248"/>
      <c r="I35" s="248"/>
      <c r="J35" s="248"/>
      <c r="K35" s="248"/>
    </row>
    <row r="36" spans="2:11" ht="15.75" customHeight="1" x14ac:dyDescent="0.25">
      <c r="B36" s="248" t="s">
        <v>157</v>
      </c>
      <c r="C36" s="248"/>
      <c r="D36" s="248"/>
      <c r="E36" s="248"/>
      <c r="F36" s="248"/>
      <c r="G36" s="248"/>
      <c r="H36" s="251" t="s">
        <v>158</v>
      </c>
      <c r="I36" s="251"/>
    </row>
    <row r="37" spans="2:11" ht="8.25" customHeight="1" x14ac:dyDescent="0.25"/>
    <row r="38" spans="2:11" ht="15.75" x14ac:dyDescent="0.25">
      <c r="B38" s="135" t="s">
        <v>136</v>
      </c>
    </row>
    <row r="39" spans="2:11" ht="8.25" customHeight="1" x14ac:dyDescent="0.25"/>
    <row r="40" spans="2:11" x14ac:dyDescent="0.25">
      <c r="B40" s="249" t="s">
        <v>159</v>
      </c>
      <c r="C40" s="249"/>
      <c r="D40" s="249"/>
      <c r="E40" s="249"/>
      <c r="F40" s="249"/>
      <c r="G40" s="249"/>
      <c r="H40" s="249"/>
      <c r="I40" s="249"/>
      <c r="J40" s="249"/>
      <c r="K40" s="249"/>
    </row>
    <row r="41" spans="2:11" x14ac:dyDescent="0.25">
      <c r="B41" s="249"/>
      <c r="C41" s="249"/>
      <c r="D41" s="249"/>
      <c r="E41" s="249"/>
      <c r="F41" s="249"/>
      <c r="G41" s="249"/>
      <c r="H41" s="249"/>
      <c r="I41" s="249"/>
      <c r="J41" s="249"/>
      <c r="K41" s="249"/>
    </row>
    <row r="42" spans="2:11" ht="51" customHeight="1" x14ac:dyDescent="0.25">
      <c r="B42" s="249"/>
      <c r="C42" s="249"/>
      <c r="D42" s="249"/>
      <c r="E42" s="249"/>
      <c r="F42" s="249"/>
      <c r="G42" s="249"/>
      <c r="H42" s="249"/>
      <c r="I42" s="249"/>
      <c r="J42" s="249"/>
      <c r="K42" s="249"/>
    </row>
    <row r="43" spans="2:11" x14ac:dyDescent="0.25">
      <c r="B43" s="40" t="s">
        <v>151</v>
      </c>
    </row>
    <row r="44" spans="2:11" x14ac:dyDescent="0.25">
      <c r="B44" s="40" t="s">
        <v>151</v>
      </c>
    </row>
    <row r="45" spans="2:11" x14ac:dyDescent="0.25">
      <c r="B45" s="40"/>
    </row>
    <row r="46" spans="2:11" x14ac:dyDescent="0.25">
      <c r="B46" s="40"/>
    </row>
    <row r="47" spans="2:11" x14ac:dyDescent="0.25">
      <c r="B47" s="40"/>
    </row>
  </sheetData>
  <sheetProtection selectLockedCells="1"/>
  <mergeCells count="11">
    <mergeCell ref="B2:K3"/>
    <mergeCell ref="B5:K5"/>
    <mergeCell ref="B28:K29"/>
    <mergeCell ref="B21:K23"/>
    <mergeCell ref="B40:K42"/>
    <mergeCell ref="B9:K11"/>
    <mergeCell ref="B15:K17"/>
    <mergeCell ref="B33:K35"/>
    <mergeCell ref="B24:J24"/>
    <mergeCell ref="B36:G36"/>
    <mergeCell ref="H36:I36"/>
  </mergeCells>
  <hyperlinks>
    <hyperlink ref="L6" location="Introduction!A1" display="Back to index" xr:uid="{00000000-0004-0000-0200-000000000000}"/>
    <hyperlink ref="L7" location="DASHBOARD!A1" display="Dashboard" xr:uid="{00000000-0004-0000-0200-000001000000}"/>
    <hyperlink ref="H36" r:id="rId1" display="Estimation of Apprentices and Trainee Statistics" xr:uid="{00000000-0004-0000-0200-000002000000}"/>
    <hyperlink ref="B24" r:id="rId2" display="&lt;https://www.ncver.edu.au/data/collection/apprentices-and-trainees-collection&gt;" xr:uid="{00000000-0004-0000-0200-000003000000}"/>
    <hyperlink ref="B24:J24" r:id="rId3" display="&lt;https://www.ncver.edu.au/data/collection/apprentices-and-trainees-collection&gt;." xr:uid="{00000000-0004-0000-0200-000004000000}"/>
    <hyperlink ref="H36:I36" r:id="rId4" display="Estimation of apprentices and trainee statistics." xr:uid="{00000000-0004-0000-0200-000005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Y33"/>
  <sheetViews>
    <sheetView showZeros="0" zoomScale="80" zoomScaleNormal="80" workbookViewId="0">
      <selection activeCell="C12" sqref="C12"/>
    </sheetView>
  </sheetViews>
  <sheetFormatPr defaultRowHeight="15" x14ac:dyDescent="0.25"/>
  <cols>
    <col min="1" max="1" width="11.85546875" style="70" customWidth="1"/>
    <col min="2" max="4" width="11.85546875" customWidth="1"/>
    <col min="5" max="5" width="2.140625" customWidth="1"/>
    <col min="6" max="9" width="11.140625" customWidth="1"/>
    <col min="10" max="10" width="2" customWidth="1"/>
    <col min="11" max="11" width="17.85546875" bestFit="1" customWidth="1"/>
    <col min="12" max="12" width="24.42578125" bestFit="1" customWidth="1"/>
    <col min="13" max="13" width="21.5703125" bestFit="1" customWidth="1"/>
    <col min="14" max="14" width="6.140625" bestFit="1" customWidth="1"/>
    <col min="15" max="15" width="2" customWidth="1"/>
    <col min="16" max="16" width="17.140625" bestFit="1" customWidth="1"/>
    <col min="17" max="20" width="10.7109375" bestFit="1" customWidth="1"/>
    <col min="21" max="21" width="2.140625" customWidth="1"/>
    <col min="22" max="22" width="17.85546875" bestFit="1" customWidth="1"/>
    <col min="23" max="23" width="7.28515625" bestFit="1" customWidth="1"/>
    <col min="24" max="24" width="5" bestFit="1" customWidth="1"/>
    <col min="25" max="213" width="13.28515625" customWidth="1"/>
    <col min="214" max="214" width="16.140625" bestFit="1" customWidth="1"/>
    <col min="215" max="422" width="8" customWidth="1"/>
    <col min="423" max="423" width="11" bestFit="1" customWidth="1"/>
  </cols>
  <sheetData>
    <row r="1" spans="1:25" ht="7.5" customHeight="1" x14ac:dyDescent="0.25">
      <c r="A1" s="71"/>
      <c r="E1" s="13"/>
      <c r="F1" s="13"/>
    </row>
    <row r="2" spans="1:25" ht="15" customHeight="1" x14ac:dyDescent="0.25">
      <c r="A2" s="255" t="s">
        <v>85</v>
      </c>
      <c r="B2" s="255"/>
      <c r="C2" s="255"/>
      <c r="D2" s="255"/>
      <c r="E2" s="255"/>
      <c r="F2" s="255"/>
      <c r="G2" s="255"/>
      <c r="H2" s="255"/>
      <c r="I2" s="255"/>
      <c r="J2" s="131"/>
      <c r="K2" s="131"/>
      <c r="L2" s="131"/>
      <c r="M2" s="131"/>
      <c r="N2" s="131"/>
      <c r="O2" s="131"/>
      <c r="P2" s="131"/>
      <c r="Q2" s="131"/>
      <c r="R2" s="131"/>
      <c r="S2" s="131"/>
      <c r="T2" s="131"/>
    </row>
    <row r="3" spans="1:25" ht="15" customHeight="1" x14ac:dyDescent="0.25">
      <c r="A3" s="255"/>
      <c r="B3" s="255"/>
      <c r="C3" s="255"/>
      <c r="D3" s="255"/>
      <c r="E3" s="255"/>
      <c r="F3" s="255"/>
      <c r="G3" s="255"/>
      <c r="H3" s="255"/>
      <c r="I3" s="255"/>
      <c r="J3" s="131"/>
      <c r="K3" s="131"/>
      <c r="L3" s="131"/>
      <c r="M3" s="131"/>
      <c r="N3" s="131"/>
      <c r="O3" s="131"/>
      <c r="P3" s="131"/>
      <c r="Q3" s="131"/>
      <c r="R3" s="131"/>
      <c r="S3" s="131"/>
      <c r="T3" s="131"/>
    </row>
    <row r="4" spans="1:25" ht="15.75" thickBot="1" x14ac:dyDescent="0.3">
      <c r="A4" s="72"/>
      <c r="B4" s="1"/>
      <c r="C4" s="1"/>
      <c r="E4" s="13"/>
      <c r="F4" s="13"/>
    </row>
    <row r="5" spans="1:25" ht="15.75" thickBot="1" x14ac:dyDescent="0.3">
      <c r="A5" s="259" t="s">
        <v>175</v>
      </c>
      <c r="B5" s="260"/>
      <c r="C5" s="260"/>
      <c r="D5" s="260"/>
      <c r="E5" s="260"/>
      <c r="F5" s="260"/>
      <c r="G5" s="260"/>
      <c r="H5" s="260"/>
      <c r="I5" s="260"/>
      <c r="J5" s="260"/>
      <c r="K5" s="260"/>
      <c r="L5" s="260"/>
      <c r="M5" s="260"/>
      <c r="N5" s="260"/>
      <c r="O5" s="260"/>
      <c r="P5" s="260"/>
      <c r="Q5" s="260"/>
      <c r="R5" s="260"/>
      <c r="S5" s="260"/>
      <c r="T5" s="260"/>
      <c r="U5" s="260"/>
      <c r="V5" s="260"/>
      <c r="W5" s="260"/>
      <c r="X5" s="261"/>
    </row>
    <row r="6" spans="1:25" ht="15.75" thickBot="1" x14ac:dyDescent="0.3"/>
    <row r="7" spans="1:25" ht="15.75" thickBot="1" x14ac:dyDescent="0.3">
      <c r="A7" s="256" t="s">
        <v>54</v>
      </c>
      <c r="B7" s="257"/>
      <c r="C7" s="257"/>
      <c r="D7" s="258"/>
      <c r="F7" s="256" t="s">
        <v>55</v>
      </c>
      <c r="G7" s="257"/>
      <c r="H7" s="257"/>
      <c r="I7" s="258"/>
      <c r="J7" s="36"/>
      <c r="K7" s="256" t="s">
        <v>56</v>
      </c>
      <c r="L7" s="257"/>
      <c r="M7" s="257"/>
      <c r="N7" s="258"/>
      <c r="P7" s="256" t="s">
        <v>59</v>
      </c>
      <c r="Q7" s="257"/>
      <c r="R7" s="257"/>
      <c r="S7" s="257"/>
      <c r="T7" s="258"/>
      <c r="V7" s="256" t="s">
        <v>62</v>
      </c>
      <c r="W7" s="257"/>
      <c r="X7" s="258"/>
    </row>
    <row r="9" spans="1:25" ht="60" x14ac:dyDescent="0.25">
      <c r="A9" s="209" t="s">
        <v>46</v>
      </c>
      <c r="B9" s="210" t="s">
        <v>100</v>
      </c>
      <c r="C9" s="211" t="s">
        <v>24</v>
      </c>
      <c r="D9" s="212" t="s">
        <v>101</v>
      </c>
      <c r="E9" s="213"/>
      <c r="F9" s="209" t="s">
        <v>46</v>
      </c>
      <c r="G9" s="211" t="s">
        <v>104</v>
      </c>
      <c r="H9" s="210" t="s">
        <v>102</v>
      </c>
      <c r="I9" s="212" t="s">
        <v>24</v>
      </c>
      <c r="J9" s="213"/>
      <c r="K9" s="214" t="s">
        <v>46</v>
      </c>
      <c r="L9" s="214" t="s">
        <v>98</v>
      </c>
      <c r="M9" s="211" t="s">
        <v>99</v>
      </c>
      <c r="N9" s="214" t="s">
        <v>132</v>
      </c>
      <c r="P9" s="88"/>
      <c r="Q9" s="87" t="s">
        <v>10</v>
      </c>
      <c r="R9" s="87" t="s">
        <v>58</v>
      </c>
      <c r="S9" s="86"/>
      <c r="T9" s="85"/>
      <c r="V9" s="214" t="s">
        <v>46</v>
      </c>
      <c r="W9" s="210" t="s">
        <v>50</v>
      </c>
      <c r="X9" s="212" t="s">
        <v>61</v>
      </c>
    </row>
    <row r="10" spans="1:25" x14ac:dyDescent="0.25">
      <c r="A10" s="70">
        <v>44256</v>
      </c>
      <c r="B10" s="186">
        <v>68606</v>
      </c>
      <c r="C10" s="187">
        <v>69148</v>
      </c>
      <c r="D10" s="186">
        <v>69214</v>
      </c>
      <c r="F10" s="73">
        <v>44256</v>
      </c>
      <c r="G10" s="224">
        <v>68536</v>
      </c>
      <c r="H10" s="187">
        <v>68910</v>
      </c>
      <c r="I10" s="187">
        <v>69148</v>
      </c>
      <c r="J10" s="92"/>
      <c r="K10" s="73">
        <v>44256</v>
      </c>
      <c r="L10" s="189">
        <v>0.997</v>
      </c>
      <c r="M10" s="189" t="e">
        <v>#N/A</v>
      </c>
      <c r="N10" s="190">
        <v>1</v>
      </c>
      <c r="P10" s="89"/>
      <c r="Q10" s="86" t="s">
        <v>0</v>
      </c>
      <c r="R10" s="84"/>
      <c r="S10" s="84" t="s">
        <v>31</v>
      </c>
      <c r="T10" s="85"/>
      <c r="V10" s="188">
        <v>44256</v>
      </c>
      <c r="W10" s="223">
        <v>68910</v>
      </c>
      <c r="X10" s="223">
        <v>0</v>
      </c>
      <c r="Y10" s="38"/>
    </row>
    <row r="11" spans="1:25" x14ac:dyDescent="0.25">
      <c r="A11" s="70">
        <v>44348</v>
      </c>
      <c r="B11" s="186">
        <v>48536</v>
      </c>
      <c r="C11" s="187">
        <v>48972</v>
      </c>
      <c r="D11" s="186">
        <v>48932</v>
      </c>
      <c r="F11" s="73">
        <v>44348</v>
      </c>
      <c r="G11" s="224">
        <v>48475</v>
      </c>
      <c r="H11" s="187">
        <v>48734</v>
      </c>
      <c r="I11" s="187">
        <v>48972</v>
      </c>
      <c r="J11" s="92"/>
      <c r="K11" s="73">
        <v>44348</v>
      </c>
      <c r="L11" s="189">
        <v>0.995</v>
      </c>
      <c r="M11" s="189" t="e">
        <v>#N/A</v>
      </c>
      <c r="N11" s="190">
        <v>1</v>
      </c>
      <c r="P11" s="214" t="s">
        <v>48</v>
      </c>
      <c r="Q11" s="86" t="s">
        <v>50</v>
      </c>
      <c r="R11" s="85" t="s">
        <v>24</v>
      </c>
      <c r="S11" s="86" t="s">
        <v>50</v>
      </c>
      <c r="T11" s="85" t="s">
        <v>24</v>
      </c>
      <c r="V11" s="188">
        <v>44348</v>
      </c>
      <c r="W11" s="223">
        <v>48734</v>
      </c>
      <c r="X11" s="223">
        <v>0</v>
      </c>
      <c r="Y11" s="38"/>
    </row>
    <row r="12" spans="1:25" x14ac:dyDescent="0.25">
      <c r="A12" s="70">
        <v>44440</v>
      </c>
      <c r="B12" s="186">
        <v>49481</v>
      </c>
      <c r="C12" s="187">
        <v>50025</v>
      </c>
      <c r="D12" s="186">
        <v>49907</v>
      </c>
      <c r="F12" s="73">
        <v>44440</v>
      </c>
      <c r="G12" s="224">
        <v>49408</v>
      </c>
      <c r="H12" s="187">
        <v>49694</v>
      </c>
      <c r="I12" s="187">
        <v>50025</v>
      </c>
      <c r="J12" s="92"/>
      <c r="K12" s="73">
        <v>44440</v>
      </c>
      <c r="L12" s="189">
        <v>0.99299999999999999</v>
      </c>
      <c r="M12" s="189" t="e">
        <v>#N/A</v>
      </c>
      <c r="N12" s="190">
        <v>1</v>
      </c>
      <c r="P12" s="73">
        <v>44256</v>
      </c>
      <c r="Q12" s="224">
        <v>68910</v>
      </c>
      <c r="R12" s="224">
        <v>69148</v>
      </c>
      <c r="S12" s="224">
        <v>66634</v>
      </c>
      <c r="T12" s="224">
        <v>69148</v>
      </c>
      <c r="V12" s="188">
        <v>44440</v>
      </c>
      <c r="W12" s="223">
        <v>49694</v>
      </c>
      <c r="X12" s="223">
        <v>0</v>
      </c>
      <c r="Y12" s="38"/>
    </row>
    <row r="13" spans="1:25" x14ac:dyDescent="0.25">
      <c r="A13" s="70">
        <v>44531</v>
      </c>
      <c r="B13" s="186">
        <v>50053</v>
      </c>
      <c r="C13" s="187">
        <v>50676</v>
      </c>
      <c r="D13" s="186">
        <v>50507</v>
      </c>
      <c r="F13" s="73">
        <v>44531</v>
      </c>
      <c r="G13" s="224">
        <v>49943</v>
      </c>
      <c r="H13" s="187">
        <v>50280</v>
      </c>
      <c r="I13" s="187">
        <v>50676</v>
      </c>
      <c r="J13" s="92"/>
      <c r="K13" s="73">
        <v>44531</v>
      </c>
      <c r="L13" s="189">
        <v>0.99199999999999999</v>
      </c>
      <c r="M13" s="189" t="e">
        <v>#N/A</v>
      </c>
      <c r="N13" s="190">
        <v>1</v>
      </c>
      <c r="P13" s="73">
        <v>44348</v>
      </c>
      <c r="Q13" s="224">
        <v>48734</v>
      </c>
      <c r="R13" s="224">
        <v>48972</v>
      </c>
      <c r="S13" s="224">
        <v>47785</v>
      </c>
      <c r="T13" s="224">
        <v>48972</v>
      </c>
      <c r="V13" s="188">
        <v>44531</v>
      </c>
      <c r="W13" s="223">
        <v>50280</v>
      </c>
      <c r="X13" s="223">
        <v>0</v>
      </c>
      <c r="Y13" s="38"/>
    </row>
    <row r="14" spans="1:25" ht="15" customHeight="1" x14ac:dyDescent="0.25">
      <c r="A14"/>
      <c r="J14" s="92"/>
      <c r="P14" s="73">
        <v>44440</v>
      </c>
      <c r="Q14" s="224">
        <v>49694</v>
      </c>
      <c r="R14" s="224">
        <v>50025</v>
      </c>
      <c r="S14" s="224">
        <v>48751</v>
      </c>
      <c r="T14" s="224">
        <v>50025</v>
      </c>
    </row>
    <row r="15" spans="1:25" x14ac:dyDescent="0.25">
      <c r="A15"/>
      <c r="J15" s="92"/>
      <c r="P15" s="73">
        <v>44531</v>
      </c>
      <c r="Q15" s="224">
        <v>50280</v>
      </c>
      <c r="R15" s="224">
        <v>50676</v>
      </c>
      <c r="S15" s="224">
        <v>48686</v>
      </c>
      <c r="T15" s="224">
        <v>50676</v>
      </c>
    </row>
    <row r="16" spans="1:25" x14ac:dyDescent="0.25">
      <c r="A16"/>
      <c r="J16" s="92"/>
    </row>
    <row r="17" spans="1:22" x14ac:dyDescent="0.25">
      <c r="A17"/>
      <c r="J17" s="92"/>
    </row>
    <row r="18" spans="1:22" x14ac:dyDescent="0.25">
      <c r="A18"/>
      <c r="F18" s="73"/>
      <c r="G18" s="92"/>
      <c r="H18" s="92"/>
      <c r="I18" s="92"/>
      <c r="J18" s="92"/>
      <c r="K18" s="92"/>
      <c r="L18" s="92"/>
      <c r="M18" s="92"/>
      <c r="N18" s="92"/>
    </row>
    <row r="19" spans="1:22" x14ac:dyDescent="0.25">
      <c r="A19"/>
      <c r="F19" s="73"/>
      <c r="G19" s="92"/>
      <c r="H19" s="92"/>
      <c r="I19" s="92"/>
      <c r="J19" s="92"/>
      <c r="K19" s="92"/>
      <c r="L19" s="92"/>
      <c r="M19" s="92"/>
      <c r="N19" s="92"/>
    </row>
    <row r="20" spans="1:22" ht="15.75" thickBot="1" x14ac:dyDescent="0.3">
      <c r="A20"/>
      <c r="F20" s="73"/>
      <c r="G20" s="92"/>
      <c r="H20" s="92"/>
      <c r="I20" s="92"/>
      <c r="J20" s="92"/>
      <c r="K20" s="92"/>
      <c r="L20" s="92"/>
      <c r="M20" s="92"/>
      <c r="N20" s="92"/>
    </row>
    <row r="21" spans="1:22" ht="15.75" thickBot="1" x14ac:dyDescent="0.3">
      <c r="A21" s="252" t="s">
        <v>174</v>
      </c>
      <c r="B21" s="253"/>
      <c r="C21" s="253"/>
      <c r="D21" s="253"/>
      <c r="E21" s="253"/>
      <c r="F21" s="253"/>
      <c r="G21" s="253"/>
      <c r="H21" s="253"/>
      <c r="I21" s="253"/>
      <c r="J21" s="253"/>
      <c r="K21" s="253"/>
      <c r="L21" s="253"/>
      <c r="M21" s="253"/>
      <c r="N21" s="253"/>
      <c r="O21" s="253"/>
      <c r="P21" s="253"/>
      <c r="Q21" s="253"/>
      <c r="R21" s="253"/>
      <c r="S21" s="254"/>
    </row>
    <row r="22" spans="1:22" x14ac:dyDescent="0.25">
      <c r="A22"/>
    </row>
    <row r="23" spans="1:22" ht="75" x14ac:dyDescent="0.25">
      <c r="A23" s="215" t="str">
        <f>IF(ISBLANK(A9),"",A9)</f>
        <v>Review quarters</v>
      </c>
      <c r="B23" s="216" t="str">
        <f t="shared" ref="B23:D23" si="0">IF(ISBLANK(B9),"",B9)</f>
        <v>Lower boundary of prediction interval</v>
      </c>
      <c r="C23" s="216" t="str">
        <f t="shared" si="0"/>
        <v>Final count</v>
      </c>
      <c r="D23" s="217" t="str">
        <f t="shared" si="0"/>
        <v>Upper boundary of prediction interval</v>
      </c>
      <c r="E23" s="218"/>
      <c r="F23" s="215" t="str">
        <f>IF(ISBLANK(F9),"",F9)</f>
        <v>Review quarters</v>
      </c>
      <c r="G23" s="216" t="str">
        <f t="shared" ref="G23:I23" si="1">IF(ISBLANK(G9),"",G9)</f>
        <v>Collected count from STAs</v>
      </c>
      <c r="H23" s="216" t="str">
        <f t="shared" si="1"/>
        <v xml:space="preserve">NCVER published estimate </v>
      </c>
      <c r="I23" s="217" t="str">
        <f t="shared" si="1"/>
        <v>Final count</v>
      </c>
      <c r="J23" s="218"/>
      <c r="K23" s="215" t="str">
        <f>IF(ISBLANK(K9),"",K9)</f>
        <v>Review quarters</v>
      </c>
      <c r="L23" s="216" t="str">
        <f t="shared" ref="L23:N23" si="2">IF(ISBLANK(L9),"",L9)</f>
        <v>Published estimate as % of final count</v>
      </c>
      <c r="M23" s="216" t="str">
        <f t="shared" si="2"/>
        <v xml:space="preserve">Model estimate as % of final count  </v>
      </c>
      <c r="N23" s="217" t="str">
        <f t="shared" si="2"/>
        <v>Final count (100%)</v>
      </c>
      <c r="O23" s="213"/>
      <c r="P23" s="215" t="s">
        <v>46</v>
      </c>
      <c r="Q23" s="216" t="s">
        <v>103</v>
      </c>
      <c r="R23" s="216" t="s">
        <v>128</v>
      </c>
      <c r="S23" s="217" t="s">
        <v>24</v>
      </c>
    </row>
    <row r="24" spans="1:22" x14ac:dyDescent="0.25">
      <c r="A24" s="70">
        <f t="shared" ref="A24:D24" si="3">IF(ISBLANK(A10),"",A10)</f>
        <v>44256</v>
      </c>
      <c r="B24" s="177">
        <f t="shared" si="3"/>
        <v>68606</v>
      </c>
      <c r="C24" s="177">
        <f t="shared" si="3"/>
        <v>69148</v>
      </c>
      <c r="D24" s="177">
        <f t="shared" si="3"/>
        <v>69214</v>
      </c>
      <c r="E24" s="70"/>
      <c r="F24" s="70">
        <f t="shared" ref="F24:I24" si="4">IF(ISBLANK(F10),"",F10)</f>
        <v>44256</v>
      </c>
      <c r="G24" s="177">
        <f t="shared" si="4"/>
        <v>68536</v>
      </c>
      <c r="H24" s="177">
        <f t="shared" si="4"/>
        <v>68910</v>
      </c>
      <c r="I24" s="177">
        <f t="shared" si="4"/>
        <v>69148</v>
      </c>
      <c r="J24" s="70"/>
      <c r="K24" s="70">
        <f>IF(ISBLANK(K10),"",K10)</f>
        <v>44256</v>
      </c>
      <c r="L24" s="39">
        <f>IF(ISBLANK(L10),#N/A,L10)</f>
        <v>0.997</v>
      </c>
      <c r="M24" s="39" t="e">
        <f t="shared" ref="M24:N24" si="5">IF(ISBLANK(M10),#N/A,M10)</f>
        <v>#N/A</v>
      </c>
      <c r="N24" s="38">
        <f t="shared" si="5"/>
        <v>1</v>
      </c>
      <c r="P24" s="70">
        <f>IF(ISBLANK(P12),"",P12)</f>
        <v>44256</v>
      </c>
      <c r="Q24">
        <f>IF(ISBLANK(Q12),"",Q12)</f>
        <v>68910</v>
      </c>
      <c r="R24">
        <f>IF(ISBLANK(S12),"",S12)</f>
        <v>66634</v>
      </c>
      <c r="S24">
        <f>IF(ISBLANK(R12),"",R12)</f>
        <v>69148</v>
      </c>
      <c r="V24" s="70"/>
    </row>
    <row r="25" spans="1:22" x14ac:dyDescent="0.25">
      <c r="A25" s="70">
        <f t="shared" ref="A25:D25" si="6">IF(ISBLANK(A11),"",A11)</f>
        <v>44348</v>
      </c>
      <c r="B25" s="177">
        <f t="shared" si="6"/>
        <v>48536</v>
      </c>
      <c r="C25" s="177">
        <f t="shared" si="6"/>
        <v>48972</v>
      </c>
      <c r="D25" s="177">
        <f t="shared" si="6"/>
        <v>48932</v>
      </c>
      <c r="E25" s="70"/>
      <c r="F25" s="70">
        <f t="shared" ref="F25:I25" si="7">IF(ISBLANK(F11),"",F11)</f>
        <v>44348</v>
      </c>
      <c r="G25" s="177">
        <f t="shared" si="7"/>
        <v>48475</v>
      </c>
      <c r="H25" s="177">
        <f t="shared" si="7"/>
        <v>48734</v>
      </c>
      <c r="I25" s="177">
        <f t="shared" si="7"/>
        <v>48972</v>
      </c>
      <c r="J25" s="70"/>
      <c r="K25" s="70">
        <f t="shared" ref="K25" si="8">IF(ISBLANK(K11),"",K11)</f>
        <v>44348</v>
      </c>
      <c r="L25" s="39">
        <f t="shared" ref="L25:N25" si="9">IF(ISBLANK(L11),#N/A,L11)</f>
        <v>0.995</v>
      </c>
      <c r="M25" s="39" t="e">
        <f t="shared" si="9"/>
        <v>#N/A</v>
      </c>
      <c r="N25" s="38">
        <f t="shared" si="9"/>
        <v>1</v>
      </c>
      <c r="P25" s="70">
        <f t="shared" ref="P25:Q27" si="10">IF(ISBLANK(P13),"",P13)</f>
        <v>44348</v>
      </c>
      <c r="Q25">
        <f t="shared" si="10"/>
        <v>48734</v>
      </c>
      <c r="R25">
        <f t="shared" ref="R25:R27" si="11">IF(ISBLANK(S13),"",S13)</f>
        <v>47785</v>
      </c>
      <c r="S25">
        <f t="shared" ref="S25:S27" si="12">IF(ISBLANK(R13),"",R13)</f>
        <v>48972</v>
      </c>
      <c r="V25" s="70"/>
    </row>
    <row r="26" spans="1:22" x14ac:dyDescent="0.25">
      <c r="A26" s="70">
        <f t="shared" ref="A26:D26" si="13">IF(ISBLANK(A12),"",A12)</f>
        <v>44440</v>
      </c>
      <c r="B26" s="177">
        <f t="shared" si="13"/>
        <v>49481</v>
      </c>
      <c r="C26" s="177">
        <f t="shared" si="13"/>
        <v>50025</v>
      </c>
      <c r="D26" s="177">
        <f t="shared" si="13"/>
        <v>49907</v>
      </c>
      <c r="E26" s="70"/>
      <c r="F26" s="70">
        <f t="shared" ref="F26:I26" si="14">IF(ISBLANK(F12),"",F12)</f>
        <v>44440</v>
      </c>
      <c r="G26" s="177">
        <f t="shared" si="14"/>
        <v>49408</v>
      </c>
      <c r="H26" s="177">
        <f t="shared" si="14"/>
        <v>49694</v>
      </c>
      <c r="I26" s="177">
        <f t="shared" si="14"/>
        <v>50025</v>
      </c>
      <c r="J26" s="70"/>
      <c r="K26" s="70">
        <f t="shared" ref="K26" si="15">IF(ISBLANK(K12),"",K12)</f>
        <v>44440</v>
      </c>
      <c r="L26" s="39">
        <f t="shared" ref="L26:N26" si="16">IF(ISBLANK(L12),#N/A,L12)</f>
        <v>0.99299999999999999</v>
      </c>
      <c r="M26" s="39" t="e">
        <f t="shared" si="16"/>
        <v>#N/A</v>
      </c>
      <c r="N26" s="38">
        <f t="shared" si="16"/>
        <v>1</v>
      </c>
      <c r="P26" s="70">
        <f t="shared" si="10"/>
        <v>44440</v>
      </c>
      <c r="Q26">
        <f t="shared" si="10"/>
        <v>49694</v>
      </c>
      <c r="R26">
        <f t="shared" si="11"/>
        <v>48751</v>
      </c>
      <c r="S26">
        <f t="shared" si="12"/>
        <v>50025</v>
      </c>
      <c r="V26" s="70"/>
    </row>
    <row r="27" spans="1:22" x14ac:dyDescent="0.25">
      <c r="A27" s="70">
        <f t="shared" ref="A27:D27" si="17">IF(ISBLANK(A13),"",A13)</f>
        <v>44531</v>
      </c>
      <c r="B27" s="177">
        <f t="shared" si="17"/>
        <v>50053</v>
      </c>
      <c r="C27" s="177">
        <f t="shared" si="17"/>
        <v>50676</v>
      </c>
      <c r="D27" s="177">
        <f t="shared" si="17"/>
        <v>50507</v>
      </c>
      <c r="E27" s="70"/>
      <c r="F27" s="70">
        <f t="shared" ref="F27:I27" si="18">IF(ISBLANK(F13),"",F13)</f>
        <v>44531</v>
      </c>
      <c r="G27" s="177">
        <f t="shared" si="18"/>
        <v>49943</v>
      </c>
      <c r="H27" s="177">
        <f t="shared" si="18"/>
        <v>50280</v>
      </c>
      <c r="I27" s="177">
        <f t="shared" si="18"/>
        <v>50676</v>
      </c>
      <c r="J27" s="70"/>
      <c r="K27" s="70">
        <f t="shared" ref="K27" si="19">IF(ISBLANK(K13),"",K13)</f>
        <v>44531</v>
      </c>
      <c r="L27" s="39">
        <f t="shared" ref="L27:N27" si="20">IF(ISBLANK(L13),#N/A,L13)</f>
        <v>0.99199999999999999</v>
      </c>
      <c r="M27" s="39" t="e">
        <f t="shared" si="20"/>
        <v>#N/A</v>
      </c>
      <c r="N27" s="38">
        <f t="shared" si="20"/>
        <v>1</v>
      </c>
      <c r="P27" s="70">
        <f t="shared" si="10"/>
        <v>44531</v>
      </c>
      <c r="Q27">
        <f t="shared" si="10"/>
        <v>50280</v>
      </c>
      <c r="R27">
        <f t="shared" si="11"/>
        <v>48686</v>
      </c>
      <c r="S27">
        <f t="shared" si="12"/>
        <v>50676</v>
      </c>
      <c r="V27" s="70"/>
    </row>
    <row r="33" collapsed="1" x14ac:dyDescent="0.25"/>
  </sheetData>
  <mergeCells count="8">
    <mergeCell ref="A21:S21"/>
    <mergeCell ref="A2:I3"/>
    <mergeCell ref="V7:X7"/>
    <mergeCell ref="P7:T7"/>
    <mergeCell ref="A7:D7"/>
    <mergeCell ref="F7:I7"/>
    <mergeCell ref="K7:N7"/>
    <mergeCell ref="A5:X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39539"/>
    <pageSetUpPr autoPageBreaks="0"/>
  </sheetPr>
  <dimension ref="A1:AJ49"/>
  <sheetViews>
    <sheetView showGridLines="0" showRowColHeaders="0" showZeros="0" zoomScale="85" zoomScaleNormal="85" workbookViewId="0">
      <selection activeCell="AG5" sqref="AG5:AI5"/>
    </sheetView>
  </sheetViews>
  <sheetFormatPr defaultRowHeight="15" x14ac:dyDescent="0.25"/>
  <cols>
    <col min="1" max="2" width="10.7109375" customWidth="1"/>
    <col min="3" max="3" width="6.85546875" customWidth="1"/>
    <col min="4" max="5" width="2.140625" customWidth="1"/>
    <col min="6" max="6" width="9.85546875" customWidth="1"/>
    <col min="7" max="7" width="8.140625" customWidth="1"/>
    <col min="8" max="9" width="9.85546875" customWidth="1"/>
    <col min="10" max="11" width="11.28515625" customWidth="1"/>
    <col min="12" max="12" width="8.140625" customWidth="1"/>
    <col min="13" max="13" width="9.85546875" customWidth="1"/>
    <col min="14" max="15" width="2.140625" customWidth="1"/>
    <col min="16" max="16" width="9.42578125" customWidth="1"/>
    <col min="17" max="19" width="9.140625" customWidth="1"/>
    <col min="20" max="20" width="9" customWidth="1"/>
    <col min="21" max="23" width="9.140625" customWidth="1"/>
    <col min="24" max="24" width="9.42578125" customWidth="1"/>
    <col min="25" max="26" width="2.140625" customWidth="1"/>
    <col min="27" max="27" width="8.28515625" customWidth="1"/>
    <col min="28" max="28" width="11.85546875" customWidth="1"/>
    <col min="29" max="29" width="12.7109375" customWidth="1"/>
    <col min="30" max="31" width="11.85546875" customWidth="1"/>
    <col min="32" max="32" width="8" customWidth="1"/>
    <col min="33" max="33" width="6" customWidth="1"/>
    <col min="34" max="34" width="8.28515625" customWidth="1"/>
    <col min="35" max="35" width="2.140625" customWidth="1"/>
    <col min="36" max="73" width="9.5703125" customWidth="1"/>
  </cols>
  <sheetData>
    <row r="1" spans="1:36" ht="7.5" customHeight="1" x14ac:dyDescent="0.25">
      <c r="AB1" s="94"/>
    </row>
    <row r="2" spans="1:36" ht="19.5" customHeight="1" x14ac:dyDescent="0.25">
      <c r="A2" s="274"/>
      <c r="B2" s="274"/>
      <c r="C2" s="274"/>
      <c r="D2" s="67"/>
      <c r="E2" s="247" t="s">
        <v>125</v>
      </c>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row>
    <row r="3" spans="1:36" ht="19.5" customHeight="1" x14ac:dyDescent="0.25">
      <c r="A3" s="274"/>
      <c r="B3" s="274"/>
      <c r="C3" s="274"/>
      <c r="D3" s="6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row>
    <row r="4" spans="1:36" ht="7.5" customHeight="1" x14ac:dyDescent="0.25">
      <c r="A4" s="274"/>
      <c r="B4" s="274"/>
      <c r="C4" s="274"/>
      <c r="D4" s="67"/>
      <c r="E4" s="180"/>
      <c r="F4" s="180"/>
      <c r="G4" s="180"/>
      <c r="H4" s="180"/>
      <c r="I4" s="180"/>
      <c r="J4" s="180"/>
      <c r="K4" s="180"/>
      <c r="L4" s="180"/>
      <c r="M4" s="180"/>
      <c r="N4" s="180"/>
      <c r="O4" s="180"/>
      <c r="P4" s="180"/>
      <c r="Q4" s="180"/>
      <c r="R4" s="180"/>
      <c r="S4" s="180"/>
      <c r="T4" s="180"/>
      <c r="U4" s="180"/>
      <c r="V4" s="180"/>
      <c r="W4" s="180"/>
      <c r="X4" s="180"/>
      <c r="Z4" s="138"/>
      <c r="AA4" s="138"/>
      <c r="AE4" s="138"/>
      <c r="AF4" s="138"/>
      <c r="AG4" s="138"/>
      <c r="AH4" s="138"/>
      <c r="AI4" s="117"/>
      <c r="AJ4" s="181"/>
    </row>
    <row r="5" spans="1:36" ht="19.5" customHeight="1" x14ac:dyDescent="0.25">
      <c r="A5" s="274"/>
      <c r="B5" s="274"/>
      <c r="C5" s="274"/>
      <c r="D5" s="67"/>
      <c r="E5" s="279" t="s">
        <v>133</v>
      </c>
      <c r="F5" s="279"/>
      <c r="G5" s="279"/>
      <c r="H5" s="279"/>
      <c r="I5" s="279"/>
      <c r="J5" s="279"/>
      <c r="K5" s="279"/>
      <c r="L5" s="279"/>
      <c r="M5" s="279"/>
      <c r="N5" s="279"/>
      <c r="O5" s="279"/>
      <c r="P5" s="279"/>
      <c r="Q5" s="279"/>
      <c r="R5" s="279"/>
      <c r="S5" s="279"/>
      <c r="T5" s="279"/>
      <c r="U5" s="279"/>
      <c r="V5" s="279"/>
      <c r="W5" s="279"/>
      <c r="X5" s="279"/>
      <c r="Y5" s="279"/>
      <c r="Z5" s="279"/>
      <c r="AA5" s="138"/>
      <c r="AB5" s="201"/>
      <c r="AE5" s="138"/>
      <c r="AF5" s="138"/>
      <c r="AG5" s="275" t="s">
        <v>92</v>
      </c>
      <c r="AH5" s="275"/>
      <c r="AI5" s="275"/>
      <c r="AJ5" s="181"/>
    </row>
    <row r="6" spans="1:36" ht="19.5" customHeight="1" x14ac:dyDescent="0.25">
      <c r="A6" s="274"/>
      <c r="B6" s="274"/>
      <c r="C6" s="274"/>
      <c r="D6" s="67"/>
      <c r="E6" s="279" t="s">
        <v>131</v>
      </c>
      <c r="F6" s="279"/>
      <c r="G6" s="279"/>
      <c r="H6" s="279"/>
      <c r="I6" s="279"/>
      <c r="J6" s="279"/>
      <c r="K6" s="279"/>
      <c r="L6" s="279"/>
      <c r="M6" s="279"/>
      <c r="N6" s="279"/>
      <c r="O6" s="279"/>
      <c r="P6" s="279"/>
      <c r="Q6" s="279"/>
      <c r="R6" s="279"/>
      <c r="S6" s="279"/>
      <c r="T6" s="279"/>
      <c r="U6" s="279"/>
      <c r="V6" s="279"/>
      <c r="W6" s="279"/>
      <c r="X6" s="279"/>
      <c r="Y6" s="279"/>
      <c r="Z6" s="279"/>
      <c r="AA6" s="279"/>
      <c r="AB6" s="279"/>
      <c r="AC6" s="138"/>
      <c r="AD6" s="138"/>
      <c r="AE6" s="138"/>
      <c r="AF6" s="138"/>
      <c r="AG6" s="275" t="s">
        <v>91</v>
      </c>
      <c r="AH6" s="275"/>
      <c r="AI6" s="275"/>
      <c r="AJ6" s="181"/>
    </row>
    <row r="7" spans="1:36" ht="7.5" customHeight="1" x14ac:dyDescent="0.25">
      <c r="D7" s="31"/>
      <c r="E7" s="31"/>
      <c r="F7" s="31"/>
      <c r="G7" s="31"/>
      <c r="M7" s="7"/>
      <c r="Z7" s="40"/>
      <c r="AA7" s="40"/>
      <c r="AB7" s="40"/>
      <c r="AC7" s="40"/>
      <c r="AD7" s="40"/>
      <c r="AE7" s="40"/>
      <c r="AF7" s="40"/>
      <c r="AG7" s="40"/>
      <c r="AH7" s="40"/>
      <c r="AI7" s="40"/>
    </row>
    <row r="8" spans="1:36" ht="7.5" customHeight="1" x14ac:dyDescent="0.25">
      <c r="B8" s="31"/>
      <c r="C8" s="31"/>
      <c r="D8" s="31"/>
      <c r="E8" s="98"/>
      <c r="F8" s="99"/>
      <c r="G8" s="100"/>
      <c r="H8" s="100"/>
      <c r="I8" s="100"/>
      <c r="J8" s="100"/>
      <c r="K8" s="100"/>
      <c r="L8" s="100"/>
      <c r="M8" s="100"/>
      <c r="N8" s="101"/>
      <c r="Z8" s="98"/>
      <c r="AA8" s="99"/>
      <c r="AB8" s="100"/>
      <c r="AC8" s="100"/>
      <c r="AD8" s="100"/>
      <c r="AE8" s="100"/>
      <c r="AF8" s="100"/>
      <c r="AG8" s="100"/>
      <c r="AH8" s="100"/>
      <c r="AI8" s="101"/>
    </row>
    <row r="9" spans="1:36" ht="19.5" customHeight="1" x14ac:dyDescent="0.25">
      <c r="B9" s="1"/>
      <c r="E9" s="280" t="s">
        <v>117</v>
      </c>
      <c r="F9" s="281"/>
      <c r="G9" s="281"/>
      <c r="H9" s="281"/>
      <c r="I9" s="281"/>
      <c r="J9" s="281"/>
      <c r="K9" s="281"/>
      <c r="L9" s="281"/>
      <c r="M9" s="281"/>
      <c r="N9" s="282"/>
      <c r="Z9" s="276" t="s">
        <v>127</v>
      </c>
      <c r="AA9" s="277"/>
      <c r="AB9" s="277"/>
      <c r="AC9" s="277"/>
      <c r="AD9" s="277"/>
      <c r="AE9" s="277"/>
      <c r="AF9" s="277"/>
      <c r="AG9" s="277"/>
      <c r="AH9" s="277"/>
      <c r="AI9" s="278"/>
    </row>
    <row r="10" spans="1:36" ht="7.5" customHeight="1" x14ac:dyDescent="0.35">
      <c r="B10" s="1"/>
      <c r="E10" s="102"/>
      <c r="F10" s="82"/>
      <c r="G10" s="82"/>
      <c r="H10" s="82"/>
      <c r="I10" s="82"/>
      <c r="J10" s="82"/>
      <c r="K10" s="82"/>
      <c r="L10" s="82"/>
      <c r="M10" s="82"/>
      <c r="N10" s="103"/>
      <c r="Z10" s="110"/>
      <c r="AA10" s="79"/>
      <c r="AB10" s="79"/>
      <c r="AC10" s="79"/>
      <c r="AD10" s="79"/>
      <c r="AE10" s="79"/>
      <c r="AF10" s="79"/>
      <c r="AG10" s="79"/>
      <c r="AH10" s="79"/>
      <c r="AI10" s="111"/>
    </row>
    <row r="11" spans="1:36" ht="17.25" customHeight="1" x14ac:dyDescent="0.35">
      <c r="E11" s="104"/>
      <c r="H11" s="287" t="s">
        <v>48</v>
      </c>
      <c r="I11" s="288"/>
      <c r="J11" s="287" t="s">
        <v>111</v>
      </c>
      <c r="K11" s="288"/>
      <c r="N11" s="105"/>
      <c r="Z11" s="106"/>
      <c r="AB11" s="41"/>
      <c r="AC11" s="41"/>
      <c r="AD11" s="41"/>
      <c r="AE11" s="41"/>
      <c r="AF11" s="41"/>
      <c r="AG11" s="41"/>
      <c r="AH11" s="41"/>
      <c r="AI11" s="105"/>
    </row>
    <row r="12" spans="1:36" ht="18.75" customHeight="1" x14ac:dyDescent="0.25">
      <c r="E12" s="106"/>
      <c r="H12" s="289"/>
      <c r="I12" s="290"/>
      <c r="J12" s="289"/>
      <c r="K12" s="290"/>
      <c r="N12" s="105"/>
      <c r="Z12" s="106"/>
      <c r="AB12" s="283" t="s">
        <v>51</v>
      </c>
      <c r="AC12" s="283" t="s">
        <v>63</v>
      </c>
      <c r="AD12" s="284" t="s">
        <v>88</v>
      </c>
      <c r="AE12" s="283" t="s">
        <v>64</v>
      </c>
      <c r="AF12" s="287" t="s">
        <v>89</v>
      </c>
      <c r="AG12" s="288"/>
      <c r="AH12" s="68"/>
      <c r="AI12" s="105"/>
    </row>
    <row r="13" spans="1:36" ht="15.75" customHeight="1" x14ac:dyDescent="0.25">
      <c r="E13" s="106"/>
      <c r="H13" s="291"/>
      <c r="I13" s="292"/>
      <c r="J13" s="291"/>
      <c r="K13" s="292"/>
      <c r="N13" s="105"/>
      <c r="Z13" s="106"/>
      <c r="AB13" s="283"/>
      <c r="AC13" s="283"/>
      <c r="AD13" s="285"/>
      <c r="AE13" s="283"/>
      <c r="AF13" s="289"/>
      <c r="AG13" s="290"/>
      <c r="AH13" s="68"/>
      <c r="AI13" s="105"/>
    </row>
    <row r="14" spans="1:36" ht="7.5" customHeight="1" x14ac:dyDescent="0.25">
      <c r="E14" s="106"/>
      <c r="H14" s="83"/>
      <c r="I14" s="83"/>
      <c r="J14" s="83"/>
      <c r="K14" s="83"/>
      <c r="N14" s="105"/>
      <c r="Z14" s="106"/>
      <c r="AB14" s="283"/>
      <c r="AC14" s="283"/>
      <c r="AD14" s="286"/>
      <c r="AE14" s="283"/>
      <c r="AF14" s="291"/>
      <c r="AG14" s="292"/>
      <c r="AI14" s="105"/>
    </row>
    <row r="15" spans="1:36" ht="17.25" customHeight="1" x14ac:dyDescent="0.25">
      <c r="E15" s="106"/>
      <c r="H15" s="272">
        <f>IF(ISBLANK('Summary table'!G7),"",'Summary table'!G7)</f>
        <v>44256</v>
      </c>
      <c r="I15" s="294"/>
      <c r="J15" s="298"/>
      <c r="K15" s="299"/>
      <c r="N15" s="105"/>
      <c r="Z15" s="106"/>
      <c r="AB15" s="77"/>
      <c r="AC15" s="77"/>
      <c r="AD15" s="77"/>
      <c r="AE15" s="77"/>
      <c r="AF15" s="77"/>
      <c r="AG15" s="77"/>
      <c r="AH15" s="42"/>
      <c r="AI15" s="105"/>
    </row>
    <row r="16" spans="1:36" ht="17.25" customHeight="1" x14ac:dyDescent="0.25">
      <c r="E16" s="106"/>
      <c r="H16" s="295"/>
      <c r="I16" s="296"/>
      <c r="J16" s="300"/>
      <c r="K16" s="301"/>
      <c r="N16" s="105"/>
      <c r="Z16" s="106"/>
      <c r="AB16" s="77"/>
      <c r="AC16" s="77"/>
      <c r="AD16" s="77"/>
      <c r="AE16" s="77"/>
      <c r="AF16" s="77"/>
      <c r="AG16" s="77"/>
      <c r="AH16" s="42"/>
      <c r="AI16" s="105"/>
    </row>
    <row r="17" spans="3:35" ht="16.5" customHeight="1" x14ac:dyDescent="0.25">
      <c r="E17" s="106"/>
      <c r="H17" s="273"/>
      <c r="I17" s="297"/>
      <c r="J17" s="302"/>
      <c r="K17" s="303"/>
      <c r="N17" s="105"/>
      <c r="Z17" s="106"/>
      <c r="AB17" s="272">
        <f>IF(ISBLANK('Pivot tables'!V10),"",'Pivot tables'!V10)</f>
        <v>44256</v>
      </c>
      <c r="AC17" s="270">
        <f>IF(ISBLANK('Pivot tables'!W10),"",'Pivot tables'!W10)</f>
        <v>68910</v>
      </c>
      <c r="AD17" s="268" t="str">
        <f>IF(ISBLANK('Pivot tables'!V10),"",IF(OR(ISBLANK('Pivot tables'!X10),'Pivot tables'!X10=0),"NO","YES"))</f>
        <v>NO</v>
      </c>
      <c r="AE17" s="262" t="str">
        <f>IF(ISBLANK('Pivot tables'!W10),"",IF(OR(ISBLANK('Pivot tables'!X10),'Pivot tables'!X10=0),"Same as published",'Pivot tables'!X10))</f>
        <v>Same as published</v>
      </c>
      <c r="AF17" s="264" t="str">
        <f>IFERROR((AE17-AC17)/AE17,"")</f>
        <v/>
      </c>
      <c r="AG17" s="304"/>
      <c r="AH17" s="42"/>
      <c r="AI17" s="105"/>
    </row>
    <row r="18" spans="3:35" ht="16.5" customHeight="1" x14ac:dyDescent="0.25">
      <c r="E18" s="106"/>
      <c r="H18" s="272">
        <f>IF(ISBLANK('Summary table'!G8),"",'Summary table'!G8)</f>
        <v>44348</v>
      </c>
      <c r="I18" s="294"/>
      <c r="J18" s="298"/>
      <c r="K18" s="299"/>
      <c r="N18" s="105"/>
      <c r="Z18" s="106"/>
      <c r="AB18" s="273"/>
      <c r="AC18" s="271"/>
      <c r="AD18" s="269"/>
      <c r="AE18" s="263"/>
      <c r="AF18" s="265"/>
      <c r="AG18" s="305"/>
      <c r="AH18" s="42"/>
      <c r="AI18" s="105"/>
    </row>
    <row r="19" spans="3:35" ht="16.5" customHeight="1" x14ac:dyDescent="0.3">
      <c r="C19" s="35"/>
      <c r="E19" s="106"/>
      <c r="H19" s="295"/>
      <c r="I19" s="296"/>
      <c r="J19" s="300"/>
      <c r="K19" s="301"/>
      <c r="L19" s="35"/>
      <c r="M19" s="35"/>
      <c r="N19" s="105"/>
      <c r="Z19" s="106"/>
      <c r="AB19" s="272">
        <f>IF(ISBLANK('Pivot tables'!V11),"",'Pivot tables'!V11)</f>
        <v>44348</v>
      </c>
      <c r="AC19" s="270">
        <f>IF(ISBLANK('Pivot tables'!W11),"",'Pivot tables'!W11)</f>
        <v>48734</v>
      </c>
      <c r="AD19" s="268" t="str">
        <f>IF(ISBLANK('Pivot tables'!V11),"",IF(OR(ISBLANK('Pivot tables'!X11),'Pivot tables'!X11=0),"NO","YES"))</f>
        <v>NO</v>
      </c>
      <c r="AE19" s="262" t="str">
        <f>IF(ISBLANK('Pivot tables'!W11),"",IF(OR(ISBLANK('Pivot tables'!X11),'Pivot tables'!X11=0),"Same as published",'Pivot tables'!X11))</f>
        <v>Same as published</v>
      </c>
      <c r="AF19" s="264" t="str">
        <f>IFERROR((AE19-AC19)/AE19,"")</f>
        <v/>
      </c>
      <c r="AG19" s="266"/>
      <c r="AH19" s="42"/>
      <c r="AI19" s="105"/>
    </row>
    <row r="20" spans="3:35" ht="16.5" customHeight="1" x14ac:dyDescent="0.25">
      <c r="E20" s="106"/>
      <c r="H20" s="273"/>
      <c r="I20" s="297"/>
      <c r="J20" s="302"/>
      <c r="K20" s="303"/>
      <c r="N20" s="105"/>
      <c r="Z20" s="106"/>
      <c r="AB20" s="273"/>
      <c r="AC20" s="271"/>
      <c r="AD20" s="269"/>
      <c r="AE20" s="263"/>
      <c r="AF20" s="265"/>
      <c r="AG20" s="267"/>
      <c r="AH20" s="42"/>
      <c r="AI20" s="105"/>
    </row>
    <row r="21" spans="3:35" ht="16.5" customHeight="1" x14ac:dyDescent="0.25">
      <c r="E21" s="106"/>
      <c r="H21" s="272">
        <f>IF(ISBLANK('Summary table'!G9),"",'Summary table'!G9)</f>
        <v>44440</v>
      </c>
      <c r="I21" s="294"/>
      <c r="J21" s="298"/>
      <c r="K21" s="299"/>
      <c r="N21" s="105"/>
      <c r="Z21" s="106"/>
      <c r="AB21" s="272">
        <f>IF(ISBLANK('Pivot tables'!V12),"",'Pivot tables'!V12)</f>
        <v>44440</v>
      </c>
      <c r="AC21" s="270">
        <f>IF(ISBLANK('Pivot tables'!W12),"",'Pivot tables'!W12)</f>
        <v>49694</v>
      </c>
      <c r="AD21" s="268" t="str">
        <f>IF(ISBLANK('Pivot tables'!V12),"",IF(OR(ISBLANK('Pivot tables'!X12),'Pivot tables'!X12=0),"NO","YES"))</f>
        <v>NO</v>
      </c>
      <c r="AE21" s="262" t="str">
        <f>IF(ISBLANK('Pivot tables'!W12),"",IF(OR(ISBLANK('Pivot tables'!X12),'Pivot tables'!X12=0),"Same as published",'Pivot tables'!X12))</f>
        <v>Same as published</v>
      </c>
      <c r="AF21" s="264" t="str">
        <f>IFERROR((AE21-AC21)/AE21,"")</f>
        <v/>
      </c>
      <c r="AG21" s="266"/>
      <c r="AH21" s="42"/>
      <c r="AI21" s="105"/>
    </row>
    <row r="22" spans="3:35" ht="16.5" customHeight="1" x14ac:dyDescent="0.25">
      <c r="E22" s="106"/>
      <c r="H22" s="295"/>
      <c r="I22" s="296"/>
      <c r="J22" s="300"/>
      <c r="K22" s="301"/>
      <c r="N22" s="105"/>
      <c r="Z22" s="106"/>
      <c r="AB22" s="273"/>
      <c r="AC22" s="271"/>
      <c r="AD22" s="269"/>
      <c r="AE22" s="263"/>
      <c r="AF22" s="265"/>
      <c r="AG22" s="267"/>
      <c r="AH22" s="42"/>
      <c r="AI22" s="105"/>
    </row>
    <row r="23" spans="3:35" ht="16.5" customHeight="1" x14ac:dyDescent="0.25">
      <c r="E23" s="106"/>
      <c r="H23" s="273"/>
      <c r="I23" s="297"/>
      <c r="J23" s="302"/>
      <c r="K23" s="303"/>
      <c r="N23" s="105"/>
      <c r="Z23" s="106"/>
      <c r="AB23" s="272">
        <f>IF(ISBLANK('Pivot tables'!V13),"",'Pivot tables'!V13)</f>
        <v>44531</v>
      </c>
      <c r="AC23" s="270">
        <f>IF(ISBLANK('Pivot tables'!W13),"",'Pivot tables'!W13)</f>
        <v>50280</v>
      </c>
      <c r="AD23" s="268" t="str">
        <f>IF(ISBLANK('Pivot tables'!V13),"",IF(OR(ISBLANK('Pivot tables'!X13),'Pivot tables'!X13=0),"NO","YES"))</f>
        <v>NO</v>
      </c>
      <c r="AE23" s="262" t="str">
        <f>IF(ISBLANK('Pivot tables'!W13),"",IF(OR(ISBLANK('Pivot tables'!X13),'Pivot tables'!X13=0),"Same as published",'Pivot tables'!X13))</f>
        <v>Same as published</v>
      </c>
      <c r="AF23" s="264" t="str">
        <f>IFERROR((AE23-AC23)/AE23,"")</f>
        <v/>
      </c>
      <c r="AG23" s="266"/>
      <c r="AH23" s="42"/>
      <c r="AI23" s="105"/>
    </row>
    <row r="24" spans="3:35" ht="16.5" customHeight="1" x14ac:dyDescent="0.25">
      <c r="E24" s="106"/>
      <c r="H24" s="272">
        <f>IF(ISBLANK('Summary table'!G10),"",'Summary table'!G10)</f>
        <v>44531</v>
      </c>
      <c r="I24" s="294"/>
      <c r="J24" s="298"/>
      <c r="K24" s="299"/>
      <c r="N24" s="105"/>
      <c r="Z24" s="106"/>
      <c r="AB24" s="273"/>
      <c r="AC24" s="271"/>
      <c r="AD24" s="269"/>
      <c r="AE24" s="263"/>
      <c r="AF24" s="265"/>
      <c r="AG24" s="267"/>
      <c r="AH24" s="78"/>
      <c r="AI24" s="105"/>
    </row>
    <row r="25" spans="3:35" ht="16.5" customHeight="1" x14ac:dyDescent="0.25">
      <c r="E25" s="106"/>
      <c r="H25" s="295"/>
      <c r="I25" s="296"/>
      <c r="J25" s="300"/>
      <c r="K25" s="301"/>
      <c r="N25" s="105"/>
      <c r="Z25" s="106"/>
      <c r="AB25" s="75"/>
      <c r="AC25" s="44"/>
      <c r="AD25" s="43"/>
      <c r="AE25" s="42"/>
      <c r="AF25" s="76"/>
      <c r="AI25" s="105"/>
    </row>
    <row r="26" spans="3:35" ht="16.5" customHeight="1" x14ac:dyDescent="0.25">
      <c r="E26" s="106"/>
      <c r="H26" s="273"/>
      <c r="I26" s="297"/>
      <c r="J26" s="302"/>
      <c r="K26" s="303"/>
      <c r="N26" s="105"/>
      <c r="Z26" s="106"/>
      <c r="AB26" s="75"/>
      <c r="AC26" s="44"/>
      <c r="AD26" s="43"/>
      <c r="AE26" s="42"/>
      <c r="AF26" s="76"/>
      <c r="AI26" s="105"/>
    </row>
    <row r="27" spans="3:35" ht="10.5" customHeight="1" x14ac:dyDescent="0.25">
      <c r="E27" s="107"/>
      <c r="F27" s="108"/>
      <c r="G27" s="108"/>
      <c r="H27" s="108"/>
      <c r="I27" s="108"/>
      <c r="J27" s="108"/>
      <c r="K27" s="108"/>
      <c r="L27" s="108"/>
      <c r="M27" s="108"/>
      <c r="N27" s="109"/>
      <c r="Z27" s="107"/>
      <c r="AA27" s="108"/>
      <c r="AB27" s="112"/>
      <c r="AC27" s="113"/>
      <c r="AD27" s="114"/>
      <c r="AE27" s="115"/>
      <c r="AF27" s="116"/>
      <c r="AG27" s="108"/>
      <c r="AH27" s="108"/>
      <c r="AI27" s="109"/>
    </row>
    <row r="28" spans="3:35" ht="10.5" customHeight="1" x14ac:dyDescent="0.25"/>
    <row r="29" spans="3:35" ht="16.5" customHeight="1" x14ac:dyDescent="0.25"/>
    <row r="30" spans="3:35" ht="10.5" customHeight="1" x14ac:dyDescent="0.25"/>
    <row r="31" spans="3:35" ht="16.5" customHeight="1" x14ac:dyDescent="0.25"/>
    <row r="32" spans="3:35" ht="16.5" customHeight="1" x14ac:dyDescent="0.25"/>
    <row r="35" ht="16.5" customHeight="1" x14ac:dyDescent="0.25"/>
    <row r="36" ht="16.5" customHeight="1" x14ac:dyDescent="0.25"/>
    <row r="37" ht="16.5" customHeight="1" x14ac:dyDescent="0.25"/>
    <row r="38" ht="16.5" customHeight="1" x14ac:dyDescent="0.25"/>
    <row r="39" ht="16.5" customHeight="1" x14ac:dyDescent="0.25"/>
    <row r="47" ht="10.5" customHeight="1" x14ac:dyDescent="0.25"/>
    <row r="49" spans="20:35" ht="15" customHeight="1" x14ac:dyDescent="0.25">
      <c r="T49" s="202"/>
      <c r="U49" s="202"/>
      <c r="V49" s="202"/>
      <c r="W49" s="202"/>
      <c r="X49" s="202"/>
      <c r="Y49" s="202"/>
      <c r="Z49" s="202"/>
      <c r="AA49" s="202"/>
      <c r="AB49" s="202"/>
      <c r="AC49" s="202"/>
      <c r="AD49" s="202"/>
      <c r="AF49" s="293" t="s">
        <v>163</v>
      </c>
      <c r="AG49" s="293"/>
      <c r="AH49" s="293"/>
      <c r="AI49" s="293"/>
    </row>
  </sheetData>
  <sheetProtection algorithmName="SHA-512" hashValue="uY3CSDpWtPbW1TBVl1NLyYGzAyQxBoKg8EHapqfqoo8WZcY90JkFZP0VOZ8ZEcJKC0SJqQyrb0yr9uKuTtf9Bw==" saltValue="VyjDbbxx92nheoiq03Z+yw==" spinCount="100000" sheet="1" objects="1" scenarios="1" selectLockedCells="1" pivotTables="0"/>
  <mergeCells count="48">
    <mergeCell ref="H11:I13"/>
    <mergeCell ref="J11:K13"/>
    <mergeCell ref="AF49:AI49"/>
    <mergeCell ref="H24:I26"/>
    <mergeCell ref="H21:I23"/>
    <mergeCell ref="H18:I20"/>
    <mergeCell ref="J18:K20"/>
    <mergeCell ref="J21:K23"/>
    <mergeCell ref="J24:K26"/>
    <mergeCell ref="AG17:AG18"/>
    <mergeCell ref="AG19:AG20"/>
    <mergeCell ref="AE19:AE20"/>
    <mergeCell ref="H15:I17"/>
    <mergeCell ref="J15:K17"/>
    <mergeCell ref="AF21:AF22"/>
    <mergeCell ref="AE23:AE24"/>
    <mergeCell ref="AE12:AE14"/>
    <mergeCell ref="AD12:AD14"/>
    <mergeCell ref="AC12:AC14"/>
    <mergeCell ref="AB12:AB14"/>
    <mergeCell ref="AF12:AG14"/>
    <mergeCell ref="A2:C6"/>
    <mergeCell ref="E2:AI3"/>
    <mergeCell ref="AG5:AI5"/>
    <mergeCell ref="AG6:AI6"/>
    <mergeCell ref="Z9:AI9"/>
    <mergeCell ref="E5:Z5"/>
    <mergeCell ref="E6:AB6"/>
    <mergeCell ref="E9:N9"/>
    <mergeCell ref="AD17:AD18"/>
    <mergeCell ref="AC17:AC18"/>
    <mergeCell ref="AB17:AB18"/>
    <mergeCell ref="AD23:AD24"/>
    <mergeCell ref="AC23:AC24"/>
    <mergeCell ref="AB23:AB24"/>
    <mergeCell ref="AD21:AD22"/>
    <mergeCell ref="AC21:AC22"/>
    <mergeCell ref="AB21:AB22"/>
    <mergeCell ref="AB19:AB20"/>
    <mergeCell ref="AD19:AD20"/>
    <mergeCell ref="AC19:AC20"/>
    <mergeCell ref="AE17:AE18"/>
    <mergeCell ref="AF17:AF18"/>
    <mergeCell ref="AF19:AF20"/>
    <mergeCell ref="AG21:AG22"/>
    <mergeCell ref="AG23:AG24"/>
    <mergeCell ref="AF23:AF24"/>
    <mergeCell ref="AE21:AE22"/>
  </mergeCells>
  <conditionalFormatting sqref="AD17 AD19 AD21 AD25:AD27 AD23">
    <cfRule type="cellIs" dxfId="39" priority="1" operator="equal">
      <formula>"YES"</formula>
    </cfRule>
  </conditionalFormatting>
  <hyperlinks>
    <hyperlink ref="AG5" location="Introduction!A1" display="Back to index" xr:uid="{00000000-0004-0000-0400-000000000000}"/>
    <hyperlink ref="AG6" location="'Summary table'!A1" display="Summary table" xr:uid="{00000000-0004-0000-0400-000001000000}"/>
    <hyperlink ref="AF49" r:id="rId1" display="&lt;https://www.ncver.edu.au/publications/publications/all-publications/a-guide-to-the-apprentices-and-trainees-estimates-review-dashboard&gt;." xr:uid="{00000000-0004-0000-0400-000002000000}"/>
  </hyperlinks>
  <pageMargins left="0.7" right="0.7" top="0.75" bottom="0.75" header="0.3" footer="0.3"/>
  <pageSetup paperSize="9" scale="39" orientation="landscape" r:id="rId2"/>
  <drawing r:id="rId3"/>
  <legacyDrawing r:id="rId4"/>
  <extLst>
    <ext xmlns:x14="http://schemas.microsoft.com/office/spreadsheetml/2009/9/main" uri="{A8765BA9-456A-4dab-B4F3-ACF838C121DE}">
      <x14:slicerList>
        <x14:slicer r:id="rId5"/>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P46"/>
  <sheetViews>
    <sheetView showGridLines="0" showRowColHeaders="0" zoomScale="90" zoomScaleNormal="90" workbookViewId="0">
      <selection activeCell="O7" sqref="O7:P7"/>
    </sheetView>
  </sheetViews>
  <sheetFormatPr defaultRowHeight="15" x14ac:dyDescent="0.25"/>
  <cols>
    <col min="1" max="1" width="25.42578125" customWidth="1"/>
    <col min="2" max="2" width="3.28515625" customWidth="1"/>
    <col min="3" max="4" width="3.42578125" customWidth="1"/>
    <col min="5" max="5" width="3" hidden="1" customWidth="1"/>
    <col min="6" max="6" width="28.5703125" customWidth="1"/>
    <col min="7" max="7" width="15.28515625" customWidth="1"/>
    <col min="8" max="8" width="15.28515625" style="13" customWidth="1"/>
    <col min="9" max="11" width="15.28515625" customWidth="1"/>
    <col min="12" max="13" width="15.28515625" style="13" customWidth="1"/>
    <col min="14" max="14" width="20.5703125" style="13" customWidth="1"/>
    <col min="15" max="15" width="9" style="13" customWidth="1"/>
    <col min="16" max="18" width="9" customWidth="1"/>
  </cols>
  <sheetData>
    <row r="1" spans="1:16" ht="8.25" customHeight="1" x14ac:dyDescent="0.25">
      <c r="A1" s="274"/>
      <c r="B1" s="274"/>
      <c r="C1" s="274"/>
      <c r="D1" s="13"/>
      <c r="E1" s="13"/>
    </row>
    <row r="2" spans="1:16" ht="15" customHeight="1" x14ac:dyDescent="0.25">
      <c r="A2" s="274"/>
      <c r="B2" s="274"/>
      <c r="C2" s="274"/>
      <c r="D2" s="13"/>
      <c r="E2" s="13"/>
      <c r="F2" s="247" t="s">
        <v>122</v>
      </c>
      <c r="G2" s="247"/>
      <c r="H2" s="247"/>
      <c r="I2" s="247"/>
      <c r="J2" s="247"/>
      <c r="K2" s="247"/>
      <c r="L2" s="247"/>
      <c r="M2" s="247"/>
      <c r="N2" s="247"/>
    </row>
    <row r="3" spans="1:16" ht="15" customHeight="1" x14ac:dyDescent="0.25">
      <c r="A3" s="274"/>
      <c r="B3" s="274"/>
      <c r="C3" s="274"/>
      <c r="D3" s="13"/>
      <c r="E3" s="13"/>
      <c r="F3" s="247"/>
      <c r="G3" s="247"/>
      <c r="H3" s="247"/>
      <c r="I3" s="247"/>
      <c r="J3" s="247"/>
      <c r="K3" s="247"/>
      <c r="L3" s="247"/>
      <c r="M3" s="247"/>
      <c r="N3" s="247"/>
    </row>
    <row r="4" spans="1:16" ht="6" customHeight="1" x14ac:dyDescent="0.25">
      <c r="A4" s="274"/>
      <c r="B4" s="274"/>
      <c r="C4" s="274"/>
      <c r="D4" s="13"/>
      <c r="E4" s="13"/>
      <c r="F4" s="247"/>
      <c r="G4" s="247"/>
      <c r="H4" s="247"/>
      <c r="I4" s="247"/>
      <c r="J4" s="247"/>
      <c r="K4" s="247"/>
      <c r="L4" s="247"/>
      <c r="M4" s="247"/>
      <c r="N4" s="247"/>
      <c r="O4" s="182"/>
    </row>
    <row r="5" spans="1:16" ht="8.25" customHeight="1" x14ac:dyDescent="0.25">
      <c r="A5" s="274"/>
      <c r="B5" s="274"/>
      <c r="C5" s="274"/>
      <c r="D5" s="13"/>
      <c r="E5" s="13"/>
      <c r="F5" s="1"/>
      <c r="G5" s="1"/>
      <c r="H5" s="10"/>
      <c r="I5" s="1"/>
      <c r="J5" s="1"/>
      <c r="O5" s="122"/>
    </row>
    <row r="6" spans="1:16" ht="51" x14ac:dyDescent="0.25">
      <c r="A6" s="13"/>
      <c r="F6" s="230" t="s">
        <v>25</v>
      </c>
      <c r="G6" s="230" t="s">
        <v>48</v>
      </c>
      <c r="H6" s="229" t="s">
        <v>104</v>
      </c>
      <c r="I6" s="230" t="s">
        <v>102</v>
      </c>
      <c r="J6" s="230" t="s">
        <v>123</v>
      </c>
      <c r="K6" s="230" t="s">
        <v>124</v>
      </c>
      <c r="L6" s="230" t="s">
        <v>24</v>
      </c>
      <c r="M6" s="230" t="s">
        <v>110</v>
      </c>
      <c r="N6" s="136" t="s">
        <v>111</v>
      </c>
    </row>
    <row r="7" spans="1:16" x14ac:dyDescent="0.25">
      <c r="A7" s="175" t="s">
        <v>22</v>
      </c>
      <c r="F7" s="225" t="s">
        <v>78</v>
      </c>
      <c r="G7" s="226">
        <v>44256</v>
      </c>
      <c r="H7" s="227">
        <v>68536</v>
      </c>
      <c r="I7" s="227">
        <v>68910</v>
      </c>
      <c r="J7" s="227">
        <v>68606</v>
      </c>
      <c r="K7" s="227">
        <v>69214</v>
      </c>
      <c r="L7" s="227">
        <v>69148</v>
      </c>
      <c r="M7" s="228">
        <v>99.7</v>
      </c>
      <c r="N7" s="123" t="str">
        <f>IFERROR(VLOOKUP(CONCATENATE($A$8,$A$12,G7,$A$10),'Analysis table'!$A:$O,15,FALSE),"")</f>
        <v>N</v>
      </c>
      <c r="O7" s="306" t="s">
        <v>92</v>
      </c>
      <c r="P7" s="306"/>
    </row>
    <row r="8" spans="1:16" x14ac:dyDescent="0.25">
      <c r="A8" s="191" t="s">
        <v>1</v>
      </c>
      <c r="F8" s="225"/>
      <c r="G8" s="226">
        <v>44348</v>
      </c>
      <c r="H8" s="227">
        <v>48475</v>
      </c>
      <c r="I8" s="227">
        <v>48734</v>
      </c>
      <c r="J8" s="227">
        <v>48536</v>
      </c>
      <c r="K8" s="227">
        <v>48932</v>
      </c>
      <c r="L8" s="227">
        <v>48972</v>
      </c>
      <c r="M8" s="228">
        <v>99.5</v>
      </c>
      <c r="N8" s="123" t="str">
        <f>IFERROR(VLOOKUP(CONCATENATE($A$8,$A$12,G8,$A$10),'Analysis table'!$A:$O,15,FALSE),"")</f>
        <v>Y</v>
      </c>
      <c r="O8" s="306" t="s">
        <v>46</v>
      </c>
      <c r="P8" s="306"/>
    </row>
    <row r="9" spans="1:16" x14ac:dyDescent="0.25">
      <c r="A9" s="175" t="s">
        <v>86</v>
      </c>
      <c r="F9" s="225"/>
      <c r="G9" s="226">
        <v>44440</v>
      </c>
      <c r="H9" s="227">
        <v>49408</v>
      </c>
      <c r="I9" s="227">
        <v>49694</v>
      </c>
      <c r="J9" s="227">
        <v>49481</v>
      </c>
      <c r="K9" s="227">
        <v>49907</v>
      </c>
      <c r="L9" s="227">
        <v>50025</v>
      </c>
      <c r="M9" s="228">
        <v>99.3</v>
      </c>
      <c r="N9" s="123" t="str">
        <f>IFERROR(VLOOKUP(CONCATENATE($A$8,$A$12,G9,$A$10),'Analysis table'!$A:$O,15,FALSE),"")</f>
        <v>Y</v>
      </c>
      <c r="O9" s="307"/>
      <c r="P9" s="307"/>
    </row>
    <row r="10" spans="1:16" x14ac:dyDescent="0.25">
      <c r="A10" s="191" t="s">
        <v>0</v>
      </c>
      <c r="F10" s="225"/>
      <c r="G10" s="226">
        <v>44531</v>
      </c>
      <c r="H10" s="227">
        <v>49943</v>
      </c>
      <c r="I10" s="227">
        <v>50280</v>
      </c>
      <c r="J10" s="227">
        <v>50053</v>
      </c>
      <c r="K10" s="227">
        <v>50507</v>
      </c>
      <c r="L10" s="227">
        <v>50676</v>
      </c>
      <c r="M10" s="228">
        <v>99.2</v>
      </c>
      <c r="N10" s="123" t="str">
        <f>IFERROR(VLOOKUP(CONCATENATE($A$8,$A$12,G10,$A$10),'Analysis table'!$A:$O,15,FALSE),"")</f>
        <v>N</v>
      </c>
      <c r="O10" s="13" t="str">
        <f>IFERROR(VLOOKUP(CONCATENATE($A$8,$A$12,H10,$A$10),'Analysis table'!$A:$O,15,FALSE),"")</f>
        <v/>
      </c>
    </row>
    <row r="11" spans="1:16" x14ac:dyDescent="0.25">
      <c r="A11" s="175" t="s">
        <v>25</v>
      </c>
      <c r="H11"/>
      <c r="L11"/>
      <c r="M11"/>
      <c r="N11" s="122" t="str">
        <f>IFERROR(VLOOKUP(CONCATENATE($A$8,$A$12,G11,$A$10),'Analysis table'!$A:$O,15,FALSE),"")</f>
        <v/>
      </c>
      <c r="O11" s="13" t="str">
        <f>IFERROR(VLOOKUP(CONCATENATE($A$8,$A$12,H11,$A$10),'Analysis table'!$A:$O,15,FALSE),"")</f>
        <v/>
      </c>
    </row>
    <row r="12" spans="1:16" x14ac:dyDescent="0.25">
      <c r="A12" s="191" t="s">
        <v>78</v>
      </c>
      <c r="H12"/>
      <c r="L12"/>
      <c r="M12"/>
      <c r="N12" s="122" t="str">
        <f>IFERROR(VLOOKUP(CONCATENATE($A$8,$A$12,G12,$A$10),'Analysis table'!$A:$O,15,FALSE),"")</f>
        <v/>
      </c>
      <c r="O12" s="13" t="str">
        <f>IFERROR(VLOOKUP(CONCATENATE($A$8,$A$12,H12,$A$10),'Analysis table'!$A:$O,15,FALSE),"")</f>
        <v/>
      </c>
    </row>
    <row r="13" spans="1:16" x14ac:dyDescent="0.25">
      <c r="H13"/>
      <c r="L13"/>
      <c r="M13"/>
      <c r="N13" s="122" t="str">
        <f>IFERROR(VLOOKUP(CONCATENATE($A$8,$A$12,G13,$A$10),'Analysis table'!$A:$O,15,FALSE),"")</f>
        <v/>
      </c>
      <c r="O13" s="13" t="str">
        <f>IFERROR(VLOOKUP(CONCATENATE($A$8,$A$12,H13,$A$10),'Analysis table'!$A:$O,15,FALSE),"")</f>
        <v/>
      </c>
    </row>
    <row r="14" spans="1:16" x14ac:dyDescent="0.25">
      <c r="H14"/>
      <c r="L14"/>
      <c r="M14"/>
      <c r="N14" s="122" t="str">
        <f>IFERROR(VLOOKUP(CONCATENATE($A$8,$A$12,G14,$A$10),'Analysis table'!$A:$O,15,FALSE),"")</f>
        <v/>
      </c>
      <c r="O14" s="13" t="str">
        <f>IFERROR(VLOOKUP(CONCATENATE($A$8,$A$12,H14,$A$10),'Analysis table'!$A:$O,15,FALSE),"")</f>
        <v/>
      </c>
    </row>
    <row r="15" spans="1:16" x14ac:dyDescent="0.25">
      <c r="F15" s="117"/>
      <c r="G15" s="117"/>
      <c r="H15" s="117"/>
      <c r="I15" s="117"/>
      <c r="J15" s="117"/>
      <c r="K15" s="117"/>
      <c r="L15" s="117"/>
      <c r="M15" s="117"/>
      <c r="N15" s="117"/>
      <c r="O15" s="13" t="str">
        <f>IFERROR(VLOOKUP(CONCATENATE($A$8,$A$12,#REF!,$A$10),'Analysis table'!$A:$O,15,FALSE),"")</f>
        <v/>
      </c>
    </row>
    <row r="16" spans="1:16" x14ac:dyDescent="0.25">
      <c r="F16" s="117"/>
      <c r="G16" s="117"/>
      <c r="H16" s="117"/>
      <c r="I16" s="117"/>
      <c r="J16" s="117"/>
      <c r="K16" s="117"/>
      <c r="L16" s="117"/>
      <c r="M16" s="117"/>
      <c r="N16" s="117"/>
      <c r="O16" s="13" t="str">
        <f>IFERROR(VLOOKUP(CONCATENATE($A$8,$A$12,H15,$A$10),'Analysis table'!$A:$O,15,FALSE),"")</f>
        <v/>
      </c>
    </row>
    <row r="17" spans="6:15" x14ac:dyDescent="0.25">
      <c r="F17" s="117"/>
      <c r="G17" s="117"/>
      <c r="H17" s="117"/>
      <c r="I17" s="117"/>
      <c r="J17" s="117"/>
      <c r="K17" s="117"/>
      <c r="L17" s="117"/>
      <c r="M17" s="117"/>
      <c r="N17" s="117"/>
      <c r="O17" s="13" t="str">
        <f>IFERROR(VLOOKUP(CONCATENATE($A$8,$A$12,H16,$A$10),'Analysis table'!$A:$O,15,FALSE),"")</f>
        <v/>
      </c>
    </row>
    <row r="18" spans="6:15" x14ac:dyDescent="0.25">
      <c r="F18" s="117"/>
      <c r="G18" s="117"/>
      <c r="H18" s="117"/>
      <c r="I18" s="117"/>
      <c r="J18" s="117"/>
      <c r="K18" s="117"/>
      <c r="L18" s="117"/>
      <c r="M18" s="117"/>
      <c r="N18" s="117"/>
      <c r="O18" s="13" t="str">
        <f>IFERROR(VLOOKUP(CONCATENATE($A$8,$A$12,H17,$A$10),'Analysis table'!$A:$O,15,FALSE),"")</f>
        <v/>
      </c>
    </row>
    <row r="19" spans="6:15" x14ac:dyDescent="0.25">
      <c r="F19" s="117"/>
      <c r="G19" s="117"/>
      <c r="H19" s="117"/>
      <c r="I19" s="117"/>
      <c r="J19" s="117"/>
      <c r="K19" s="117"/>
      <c r="L19" s="117"/>
      <c r="M19" s="117"/>
      <c r="N19" s="117"/>
      <c r="O19" s="13" t="str">
        <f>IFERROR(VLOOKUP(CONCATENATE($A$8,$A$12,H18,$A$10),'Analysis table'!$A:$O,15,FALSE),"")</f>
        <v/>
      </c>
    </row>
    <row r="20" spans="6:15" x14ac:dyDescent="0.25">
      <c r="F20" s="117"/>
      <c r="G20" s="117"/>
      <c r="H20" s="117"/>
      <c r="I20" s="117"/>
      <c r="J20" s="117"/>
      <c r="K20" s="117"/>
      <c r="L20" s="117"/>
      <c r="M20" s="117"/>
      <c r="N20" s="117"/>
      <c r="O20" s="13" t="str">
        <f>IFERROR(VLOOKUP(CONCATENATE($A$8,$A$12,H19,$A$10),'Analysis table'!$A:$O,15,FALSE),"")</f>
        <v/>
      </c>
    </row>
    <row r="21" spans="6:15" x14ac:dyDescent="0.25">
      <c r="F21" s="117"/>
      <c r="G21" s="117"/>
      <c r="H21" s="117"/>
      <c r="I21" s="117"/>
      <c r="J21" s="117"/>
      <c r="K21" s="117"/>
      <c r="L21" s="117"/>
      <c r="M21" s="117"/>
      <c r="N21" s="117"/>
      <c r="O21" s="13" t="str">
        <f>IFERROR(VLOOKUP(CONCATENATE($A$8,$A$12,H20,$A$10),'Analysis table'!$A:$O,15,FALSE),"")</f>
        <v/>
      </c>
    </row>
    <row r="22" spans="6:15" x14ac:dyDescent="0.25">
      <c r="F22" s="117"/>
      <c r="G22" s="117"/>
      <c r="H22" s="117"/>
      <c r="I22" s="117"/>
      <c r="J22" s="117"/>
      <c r="K22" s="117"/>
      <c r="L22" s="117"/>
      <c r="M22" s="117"/>
      <c r="N22" s="117"/>
      <c r="O22" s="13" t="str">
        <f>IFERROR(VLOOKUP(CONCATENATE($A$8,$A$12,H21,$A$10),'Analysis table'!$A:$O,15,FALSE),"")</f>
        <v/>
      </c>
    </row>
    <row r="23" spans="6:15" x14ac:dyDescent="0.25">
      <c r="F23" s="117"/>
      <c r="G23" s="117"/>
      <c r="H23" s="117"/>
      <c r="I23" s="117"/>
      <c r="J23" s="117"/>
      <c r="K23" s="117"/>
      <c r="L23" s="117"/>
      <c r="M23" s="117"/>
      <c r="N23" s="117"/>
      <c r="O23" s="13" t="str">
        <f>IFERROR(VLOOKUP(CONCATENATE($A$8,$A$12,H22,$A$10),'Analysis table'!$A:$O,15,FALSE),"")</f>
        <v/>
      </c>
    </row>
    <row r="24" spans="6:15" x14ac:dyDescent="0.25">
      <c r="F24" s="117"/>
      <c r="G24" s="117"/>
      <c r="H24" s="117"/>
      <c r="I24" s="117"/>
      <c r="J24" s="117"/>
      <c r="K24" s="117"/>
      <c r="L24" s="117"/>
      <c r="M24" s="117"/>
      <c r="N24" s="117"/>
      <c r="O24" s="13" t="str">
        <f>IFERROR(VLOOKUP(CONCATENATE($A$8,$A$12,H23,$A$10),'Analysis table'!$A:$O,15,FALSE),"")</f>
        <v/>
      </c>
    </row>
    <row r="25" spans="6:15" x14ac:dyDescent="0.25">
      <c r="F25" s="117"/>
      <c r="G25" s="117"/>
      <c r="H25" s="117"/>
      <c r="I25" s="117"/>
      <c r="J25" s="117"/>
      <c r="K25" s="117"/>
      <c r="L25" s="117"/>
      <c r="M25" s="117"/>
      <c r="N25" s="117"/>
      <c r="O25" s="13" t="str">
        <f>IFERROR(VLOOKUP(CONCATENATE($A$8,$A$12,H24,$A$10),'Analysis table'!$A:$O,15,FALSE),"")</f>
        <v/>
      </c>
    </row>
    <row r="26" spans="6:15" x14ac:dyDescent="0.25">
      <c r="F26" s="117"/>
      <c r="G26" s="117"/>
      <c r="H26" s="117"/>
      <c r="I26" s="117"/>
      <c r="J26" s="117"/>
      <c r="K26" s="117"/>
      <c r="L26" s="117"/>
      <c r="M26" s="117"/>
      <c r="N26" s="117"/>
      <c r="O26" s="13" t="str">
        <f>IFERROR(VLOOKUP(CONCATENATE($A$8,$A$12,H25,$A$10),'Analysis table'!$A:$O,15,FALSE),"")</f>
        <v/>
      </c>
    </row>
    <row r="27" spans="6:15" x14ac:dyDescent="0.25">
      <c r="F27" s="117"/>
      <c r="G27" s="117"/>
      <c r="H27" s="117"/>
      <c r="I27" s="117"/>
      <c r="J27" s="117"/>
      <c r="K27" s="117"/>
      <c r="L27" s="117"/>
      <c r="M27" s="117"/>
      <c r="N27" s="117"/>
      <c r="O27" s="13" t="str">
        <f>IFERROR(VLOOKUP(CONCATENATE($A$8,$A$12,H26,$A$10),'Analysis table'!$A:$O,15,FALSE),"")</f>
        <v/>
      </c>
    </row>
    <row r="28" spans="6:15" x14ac:dyDescent="0.25">
      <c r="F28" s="117"/>
      <c r="G28" s="117"/>
      <c r="H28" s="117"/>
      <c r="I28" s="117"/>
      <c r="J28" s="117"/>
      <c r="K28" s="117"/>
      <c r="L28" s="117"/>
      <c r="M28" s="117"/>
      <c r="N28" s="117"/>
      <c r="O28" s="13" t="str">
        <f>IFERROR(VLOOKUP(CONCATENATE($A$8,$A$12,H27,$A$10),'Analysis table'!$A:$O,15,FALSE),"")</f>
        <v/>
      </c>
    </row>
    <row r="29" spans="6:15" x14ac:dyDescent="0.25">
      <c r="F29" s="117"/>
      <c r="G29" s="117"/>
      <c r="H29" s="117"/>
      <c r="I29" s="117"/>
      <c r="J29" s="117"/>
      <c r="K29" s="117"/>
      <c r="L29" s="117"/>
      <c r="M29" s="117"/>
      <c r="N29" s="117"/>
      <c r="O29" s="13" t="str">
        <f>IFERROR(VLOOKUP(CONCATENATE($A$8,$A$12,H28,$A$10),'Analysis table'!$A:$O,15,FALSE),"")</f>
        <v/>
      </c>
    </row>
    <row r="30" spans="6:15" x14ac:dyDescent="0.25">
      <c r="F30" s="117"/>
      <c r="G30" s="117"/>
      <c r="H30" s="122"/>
      <c r="I30" s="117"/>
      <c r="J30" s="117"/>
      <c r="K30" s="117"/>
      <c r="L30" s="122"/>
      <c r="M30" s="122"/>
      <c r="N30" s="117"/>
      <c r="O30" s="13" t="str">
        <f>IFERROR(VLOOKUP(CONCATENATE($A$8,$A$12,H29,$A$10),'Analysis table'!$A:$O,15,FALSE),"")</f>
        <v/>
      </c>
    </row>
    <row r="31" spans="6:15" x14ac:dyDescent="0.25">
      <c r="F31" s="117"/>
      <c r="G31" s="178"/>
      <c r="H31" s="179"/>
      <c r="I31" s="178"/>
      <c r="J31" s="178"/>
      <c r="K31" s="178"/>
      <c r="L31" s="179"/>
      <c r="M31" s="122"/>
      <c r="N31" s="117"/>
      <c r="O31"/>
    </row>
    <row r="32" spans="6:15" x14ac:dyDescent="0.25">
      <c r="F32" s="124"/>
      <c r="G32" s="125" t="s">
        <v>48</v>
      </c>
      <c r="H32" s="125" t="s">
        <v>104</v>
      </c>
      <c r="I32" s="126" t="s">
        <v>102</v>
      </c>
      <c r="J32" s="125" t="s">
        <v>110</v>
      </c>
      <c r="K32" s="126" t="s">
        <v>24</v>
      </c>
      <c r="L32" s="126"/>
      <c r="M32" s="127"/>
      <c r="N32" s="122"/>
      <c r="O32"/>
    </row>
    <row r="33" spans="6:15" x14ac:dyDescent="0.25">
      <c r="F33" s="124"/>
      <c r="G33" s="128">
        <f t="shared" ref="G33" si="0">IF(ISBLANK(G7),"",G7)</f>
        <v>44256</v>
      </c>
      <c r="H33" s="126">
        <f>IF(ISBLANK(H7),"",H7)</f>
        <v>68536</v>
      </c>
      <c r="I33" s="125">
        <f>IF(ISBLANK(I7),"",I7)</f>
        <v>68910</v>
      </c>
      <c r="J33" s="129">
        <f>IF(M7="",NA(),M7/100)</f>
        <v>0.997</v>
      </c>
      <c r="K33" s="125">
        <f>IF(ISBLANK(L7),"",L7)</f>
        <v>69148</v>
      </c>
      <c r="L33" s="126"/>
      <c r="M33" s="127"/>
      <c r="N33" s="117"/>
    </row>
    <row r="34" spans="6:15" x14ac:dyDescent="0.25">
      <c r="F34" s="124"/>
      <c r="G34" s="128">
        <f t="shared" ref="G34:I34" si="1">IF(ISBLANK(G8),"",G8)</f>
        <v>44348</v>
      </c>
      <c r="H34" s="126">
        <f t="shared" si="1"/>
        <v>48475</v>
      </c>
      <c r="I34" s="125">
        <f t="shared" si="1"/>
        <v>48734</v>
      </c>
      <c r="J34" s="129">
        <f t="shared" ref="J34:J36" si="2">IF(M8="",NA(),M8/100)</f>
        <v>0.995</v>
      </c>
      <c r="K34" s="125">
        <f t="shared" ref="K34:K36" si="3">IF(ISBLANK(L8),"",L8)</f>
        <v>48972</v>
      </c>
      <c r="L34" s="126"/>
      <c r="M34" s="127"/>
      <c r="N34" s="117"/>
      <c r="O34"/>
    </row>
    <row r="35" spans="6:15" x14ac:dyDescent="0.25">
      <c r="F35" s="124"/>
      <c r="G35" s="128">
        <f t="shared" ref="G35:I35" si="4">IF(ISBLANK(G9),"",G9)</f>
        <v>44440</v>
      </c>
      <c r="H35" s="126">
        <f t="shared" si="4"/>
        <v>49408</v>
      </c>
      <c r="I35" s="125">
        <f t="shared" si="4"/>
        <v>49694</v>
      </c>
      <c r="J35" s="129">
        <f t="shared" si="2"/>
        <v>0.99299999999999999</v>
      </c>
      <c r="K35" s="125">
        <f t="shared" si="3"/>
        <v>50025</v>
      </c>
      <c r="L35" s="126"/>
      <c r="M35" s="127"/>
      <c r="N35" s="117"/>
      <c r="O35"/>
    </row>
    <row r="36" spans="6:15" x14ac:dyDescent="0.25">
      <c r="F36" s="124"/>
      <c r="G36" s="128">
        <f t="shared" ref="G36:I36" si="5">IF(ISBLANK(G10),"",G10)</f>
        <v>44531</v>
      </c>
      <c r="H36" s="126">
        <f t="shared" si="5"/>
        <v>49943</v>
      </c>
      <c r="I36" s="125">
        <f t="shared" si="5"/>
        <v>50280</v>
      </c>
      <c r="J36" s="129">
        <f t="shared" si="2"/>
        <v>0.99199999999999999</v>
      </c>
      <c r="K36" s="125">
        <f t="shared" si="3"/>
        <v>50676</v>
      </c>
      <c r="L36" s="126"/>
      <c r="M36" s="127"/>
      <c r="N36" s="117"/>
      <c r="O36"/>
    </row>
    <row r="37" spans="6:15" ht="15" customHeight="1" x14ac:dyDescent="0.25">
      <c r="F37" s="117"/>
      <c r="G37" s="125"/>
      <c r="H37" s="126"/>
      <c r="I37" s="125"/>
      <c r="J37" s="125"/>
      <c r="K37" s="125"/>
      <c r="L37" s="126"/>
      <c r="M37" s="122"/>
      <c r="N37" s="117"/>
      <c r="O37"/>
    </row>
    <row r="38" spans="6:15" ht="15.75" customHeight="1" x14ac:dyDescent="0.25">
      <c r="F38" s="117"/>
      <c r="G38" s="117"/>
      <c r="H38" s="122"/>
      <c r="I38" s="117"/>
      <c r="J38" s="117"/>
      <c r="K38" s="117"/>
      <c r="L38" s="122"/>
      <c r="M38" s="122"/>
      <c r="N38" s="122"/>
      <c r="O38"/>
    </row>
    <row r="39" spans="6:15" ht="8.25" customHeight="1" x14ac:dyDescent="0.25">
      <c r="F39" s="117"/>
      <c r="G39" s="117"/>
      <c r="H39" s="122"/>
      <c r="I39" s="117"/>
      <c r="J39" s="117"/>
      <c r="K39" s="117"/>
      <c r="L39" s="122"/>
      <c r="M39" s="122"/>
      <c r="N39" s="122"/>
    </row>
    <row r="40" spans="6:15" ht="15.75" customHeight="1" x14ac:dyDescent="0.25">
      <c r="F40" s="117"/>
      <c r="G40" s="117"/>
      <c r="H40" s="122"/>
      <c r="I40" s="117"/>
      <c r="J40" s="117"/>
      <c r="K40" s="117"/>
      <c r="L40" s="122"/>
      <c r="M40" s="122"/>
      <c r="N40" s="122"/>
    </row>
    <row r="41" spans="6:15" ht="15" customHeight="1" x14ac:dyDescent="0.25"/>
    <row r="42" spans="6:15" ht="8.25" customHeight="1" x14ac:dyDescent="0.25"/>
    <row r="43" spans="6:15" ht="15" customHeight="1" x14ac:dyDescent="0.25"/>
    <row r="44" spans="6:15" ht="15" customHeight="1" x14ac:dyDescent="0.25"/>
    <row r="45" spans="6:15" ht="21.75" customHeight="1" x14ac:dyDescent="0.25">
      <c r="N45" s="203" t="s">
        <v>163</v>
      </c>
    </row>
    <row r="46" spans="6:15" ht="15" customHeight="1" x14ac:dyDescent="0.25">
      <c r="J46" s="183"/>
      <c r="L46" s="204"/>
    </row>
  </sheetData>
  <sheetProtection algorithmName="SHA-512" hashValue="8GOa2HqJeZKXgBUc+MTgio7h06ZLGIuCnPq9YGTi/Sh0hUNh0wW7ePNGcJsUsxUrgz8W2lkNbM4Mrja+jIQb0Q==" saltValue="wKyDc54z5WvxlnPaPma4rA==" spinCount="100000" sheet="1" objects="1" scenarios="1" selectLockedCells="1" pivotTables="0"/>
  <mergeCells count="5">
    <mergeCell ref="A1:C5"/>
    <mergeCell ref="F2:N4"/>
    <mergeCell ref="O7:P7"/>
    <mergeCell ref="O8:P8"/>
    <mergeCell ref="O9:P9"/>
  </mergeCells>
  <conditionalFormatting sqref="O10:O30 N7:N14">
    <cfRule type="cellIs" dxfId="38" priority="13" operator="equal">
      <formula>"N"</formula>
    </cfRule>
  </conditionalFormatting>
  <conditionalFormatting pivot="1" sqref="M7:M10">
    <cfRule type="cellIs" dxfId="37" priority="2" operator="greaterThan">
      <formula>105</formula>
    </cfRule>
  </conditionalFormatting>
  <conditionalFormatting pivot="1" sqref="M7:M10">
    <cfRule type="cellIs" dxfId="36" priority="1" operator="lessThan">
      <formula>95</formula>
    </cfRule>
  </conditionalFormatting>
  <hyperlinks>
    <hyperlink ref="N45" r:id="rId5" display="&lt;https://www.ncver.edu.au/publications/publications/all-publications/a-guide-to-the-apprentices-and-trainees-estimates-review-dashboard&gt;." xr:uid="{00000000-0004-0000-0500-000002000000}"/>
    <hyperlink ref="O8" location="'Review quarters'!A1" display="Back to index" xr:uid="{00000000-0004-0000-0500-000001000000}"/>
    <hyperlink ref="O7:P7" location="Introduction!A1" display="Introduction!A1" xr:uid="{3F786751-0F83-41B2-B83D-145CC5C3BF70}"/>
  </hyperlinks>
  <pageMargins left="0.7" right="0.7" top="0.75" bottom="0.75" header="0.3" footer="0.3"/>
  <pageSetup paperSize="9" orientation="portrait" r:id="rId6"/>
  <drawing r:id="rId7"/>
  <extLst>
    <ext xmlns:x14="http://schemas.microsoft.com/office/spreadsheetml/2009/9/main" uri="{A8765BA9-456A-4dab-B4F3-ACF838C121DE}">
      <x14:slicerList>
        <x14:slicer r:id="rId8"/>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B1:R45"/>
  <sheetViews>
    <sheetView showGridLines="0" showRowColHeaders="0" zoomScale="90" zoomScaleNormal="90" workbookViewId="0">
      <selection activeCell="P15" sqref="P15:Q15"/>
    </sheetView>
  </sheetViews>
  <sheetFormatPr defaultRowHeight="15" x14ac:dyDescent="0.25"/>
  <cols>
    <col min="1" max="1" width="3.28515625" customWidth="1"/>
    <col min="2" max="2" width="7.28515625" customWidth="1"/>
    <col min="3" max="3" width="18" customWidth="1"/>
    <col min="4" max="9" width="10.5703125" customWidth="1"/>
    <col min="10" max="10" width="11.7109375" customWidth="1"/>
    <col min="11" max="14" width="10.5703125" customWidth="1"/>
    <col min="15" max="15" width="11.140625" customWidth="1"/>
    <col min="16" max="16" width="12.140625" customWidth="1"/>
  </cols>
  <sheetData>
    <row r="1" spans="2:17" ht="12" customHeight="1" x14ac:dyDescent="0.25"/>
    <row r="2" spans="2:17" ht="15" customHeight="1" x14ac:dyDescent="0.25">
      <c r="B2" s="247" t="s">
        <v>126</v>
      </c>
      <c r="C2" s="247"/>
      <c r="D2" s="247"/>
      <c r="E2" s="247"/>
      <c r="F2" s="247"/>
      <c r="G2" s="247"/>
      <c r="H2" s="247"/>
      <c r="I2" s="247"/>
      <c r="J2" s="247"/>
      <c r="K2" s="247"/>
      <c r="L2" s="247"/>
      <c r="M2" s="247"/>
      <c r="N2" s="247"/>
      <c r="O2" s="247"/>
    </row>
    <row r="3" spans="2:17" ht="15" customHeight="1" x14ac:dyDescent="0.25">
      <c r="B3" s="247"/>
      <c r="C3" s="247"/>
      <c r="D3" s="247"/>
      <c r="E3" s="247"/>
      <c r="F3" s="247"/>
      <c r="G3" s="247"/>
      <c r="H3" s="247"/>
      <c r="I3" s="247"/>
      <c r="J3" s="247"/>
      <c r="K3" s="247"/>
      <c r="L3" s="247"/>
      <c r="M3" s="247"/>
      <c r="N3" s="247"/>
      <c r="O3" s="247"/>
    </row>
    <row r="4" spans="2:17" ht="6" customHeight="1" x14ac:dyDescent="0.25">
      <c r="B4" s="247"/>
      <c r="C4" s="247"/>
      <c r="D4" s="247"/>
      <c r="E4" s="247"/>
      <c r="F4" s="247"/>
      <c r="G4" s="247"/>
      <c r="H4" s="247"/>
      <c r="I4" s="247"/>
      <c r="J4" s="247"/>
      <c r="K4" s="247"/>
      <c r="L4" s="247"/>
      <c r="M4" s="247"/>
      <c r="N4" s="247"/>
      <c r="O4" s="247"/>
    </row>
    <row r="5" spans="2:17" hidden="1" x14ac:dyDescent="0.25">
      <c r="E5" s="327"/>
      <c r="F5" s="327"/>
      <c r="G5" s="327"/>
      <c r="H5" s="327"/>
    </row>
    <row r="6" spans="2:17" ht="15.75" hidden="1" thickBot="1" x14ac:dyDescent="0.3"/>
    <row r="7" spans="2:17" ht="15" hidden="1" customHeight="1" x14ac:dyDescent="0.25">
      <c r="E7" s="328" t="s">
        <v>93</v>
      </c>
      <c r="F7" s="329"/>
      <c r="G7" s="329"/>
      <c r="H7" s="330"/>
    </row>
    <row r="8" spans="2:17" ht="15.75" hidden="1" thickBot="1" x14ac:dyDescent="0.3">
      <c r="E8" s="331"/>
      <c r="F8" s="332"/>
      <c r="G8" s="332"/>
      <c r="H8" s="333"/>
    </row>
    <row r="9" spans="2:17" hidden="1" x14ac:dyDescent="0.25">
      <c r="E9" s="1"/>
      <c r="F9" s="1"/>
      <c r="G9" s="1"/>
      <c r="H9" s="1"/>
    </row>
    <row r="10" spans="2:17" hidden="1" x14ac:dyDescent="0.25">
      <c r="E10" s="321" t="s">
        <v>40</v>
      </c>
      <c r="F10" s="322"/>
      <c r="G10" s="323"/>
      <c r="H10" s="91">
        <v>114</v>
      </c>
    </row>
    <row r="11" spans="2:17" ht="15" hidden="1" customHeight="1" x14ac:dyDescent="0.25">
      <c r="E11" s="324" t="s">
        <v>47</v>
      </c>
      <c r="F11" s="325"/>
      <c r="G11" s="326"/>
      <c r="H11" s="29">
        <f>VLOOKUP($H$10,'Data validation'!$E:$K,7,0)</f>
        <v>44805</v>
      </c>
    </row>
    <row r="12" spans="2:17" hidden="1" x14ac:dyDescent="0.25">
      <c r="E12" s="12"/>
      <c r="F12" s="12"/>
      <c r="G12" s="12"/>
      <c r="H12" s="11"/>
    </row>
    <row r="13" spans="2:17" ht="12" customHeight="1" x14ac:dyDescent="0.25">
      <c r="C13" s="1"/>
      <c r="D13" s="1"/>
      <c r="E13" s="1"/>
      <c r="F13" s="1"/>
      <c r="G13" s="1"/>
    </row>
    <row r="14" spans="2:17" ht="18" x14ac:dyDescent="0.25">
      <c r="B14" s="242" t="s">
        <v>83</v>
      </c>
      <c r="C14" s="242"/>
      <c r="D14" s="242"/>
      <c r="E14" s="242"/>
      <c r="F14" s="242"/>
      <c r="G14" s="242"/>
      <c r="H14" s="242"/>
      <c r="I14" s="242"/>
      <c r="J14" s="242"/>
      <c r="K14" s="242"/>
      <c r="L14" s="242"/>
      <c r="M14" s="242"/>
      <c r="N14" s="242"/>
      <c r="O14" s="242"/>
    </row>
    <row r="15" spans="2:17" ht="15" customHeight="1" x14ac:dyDescent="0.25">
      <c r="B15" s="117"/>
      <c r="C15" s="117"/>
      <c r="D15" s="117"/>
      <c r="E15" s="117"/>
      <c r="F15" s="117"/>
      <c r="G15" s="117"/>
      <c r="H15" s="117"/>
      <c r="I15" s="117"/>
      <c r="J15" s="117"/>
      <c r="K15" s="117"/>
      <c r="N15" s="117"/>
      <c r="P15" s="320" t="s">
        <v>92</v>
      </c>
      <c r="Q15" s="320"/>
    </row>
    <row r="16" spans="2:17" ht="15.75" customHeight="1" x14ac:dyDescent="0.25">
      <c r="B16" s="117"/>
      <c r="C16" s="145" t="s">
        <v>39</v>
      </c>
      <c r="D16" s="146">
        <f>$H$10-7</f>
        <v>107</v>
      </c>
      <c r="E16" s="146">
        <f>$H$10-6</f>
        <v>108</v>
      </c>
      <c r="F16" s="146">
        <f>$H$10-5</f>
        <v>109</v>
      </c>
      <c r="G16" s="146">
        <f>$H$10-4</f>
        <v>110</v>
      </c>
      <c r="H16" s="146">
        <f>$H$10-3</f>
        <v>111</v>
      </c>
      <c r="I16" s="146">
        <f>$H$10-2</f>
        <v>112</v>
      </c>
      <c r="J16" s="146">
        <f>$H$10-1</f>
        <v>113</v>
      </c>
      <c r="K16" s="146">
        <f>$H$10</f>
        <v>114</v>
      </c>
      <c r="N16" s="117"/>
      <c r="O16" s="117"/>
      <c r="P16" s="320" t="s">
        <v>90</v>
      </c>
      <c r="Q16" s="320"/>
    </row>
    <row r="17" spans="2:18" ht="15" customHeight="1" x14ac:dyDescent="0.25">
      <c r="B17" s="117"/>
      <c r="C17" s="145" t="s">
        <v>81</v>
      </c>
      <c r="D17" s="147">
        <f>VLOOKUP(D$16,'Data validation'!$E:$K,4,FALSE)</f>
        <v>44256</v>
      </c>
      <c r="E17" s="147">
        <f>VLOOKUP(E$16,'Data validation'!$E:$K,4,FALSE)</f>
        <v>44348</v>
      </c>
      <c r="F17" s="147">
        <f>VLOOKUP(F$16,'Data validation'!$E:$K,4,FALSE)</f>
        <v>44440</v>
      </c>
      <c r="G17" s="147">
        <f>VLOOKUP(G$16,'Data validation'!$E:$K,4,FALSE)</f>
        <v>44531</v>
      </c>
      <c r="H17" s="147">
        <f>VLOOKUP(H$16,'Data validation'!$E:$K,4,FALSE)</f>
        <v>44621</v>
      </c>
      <c r="I17" s="147">
        <f>VLOOKUP(I$16,'Data validation'!$E:$K,4,FALSE)</f>
        <v>44713</v>
      </c>
      <c r="J17" s="147">
        <f>VLOOKUP(J$16,'Data validation'!$E:$K,4,FALSE)</f>
        <v>44805</v>
      </c>
      <c r="K17" s="147">
        <f>VLOOKUP(K$16,'Data validation'!$E:$K,4,FALSE)</f>
        <v>44896</v>
      </c>
      <c r="L17" s="117"/>
      <c r="M17" s="117"/>
      <c r="N17" s="117"/>
      <c r="O17" s="117"/>
      <c r="Q17" s="334"/>
      <c r="R17" s="334"/>
    </row>
    <row r="18" spans="2:18" ht="15" customHeight="1" thickBot="1" x14ac:dyDescent="0.3">
      <c r="B18" s="117"/>
      <c r="C18" s="145" t="s">
        <v>82</v>
      </c>
      <c r="D18" s="148">
        <f>VLOOKUP(D$16,'Data validation'!$E:$K,7,FALSE)</f>
        <v>44166</v>
      </c>
      <c r="E18" s="148">
        <f>VLOOKUP(E$16,'Data validation'!$E:$K,7,FALSE)</f>
        <v>44256</v>
      </c>
      <c r="F18" s="148">
        <f>VLOOKUP(F$16,'Data validation'!$E:$K,7,FALSE)</f>
        <v>44348</v>
      </c>
      <c r="G18" s="148">
        <f>VLOOKUP(G$16,'Data validation'!$E:$K,7,FALSE)</f>
        <v>44440</v>
      </c>
      <c r="H18" s="148">
        <f>VLOOKUP(H$16,'Data validation'!$E:$K,7,FALSE)</f>
        <v>44531</v>
      </c>
      <c r="I18" s="148">
        <f>VLOOKUP(I$16,'Data validation'!$E:$K,7,FALSE)</f>
        <v>44621</v>
      </c>
      <c r="J18" s="148">
        <f>VLOOKUP(J$16,'Data validation'!$E:$K,7,FALSE)</f>
        <v>44713</v>
      </c>
      <c r="K18" s="148">
        <f>VLOOKUP(K$16,'Data validation'!$E:$K,7,FALSE)</f>
        <v>44805</v>
      </c>
      <c r="L18" s="117"/>
      <c r="M18" s="117"/>
      <c r="N18" s="117"/>
      <c r="O18" s="117"/>
    </row>
    <row r="19" spans="2:18" ht="25.5" customHeight="1" x14ac:dyDescent="0.25">
      <c r="B19" s="317" t="s">
        <v>38</v>
      </c>
      <c r="C19" s="149">
        <f>E18</f>
        <v>44256</v>
      </c>
      <c r="D19" s="150" t="s">
        <v>32</v>
      </c>
      <c r="E19" s="151" t="s">
        <v>31</v>
      </c>
      <c r="F19" s="151" t="s">
        <v>120</v>
      </c>
      <c r="G19" s="151" t="s">
        <v>121</v>
      </c>
      <c r="H19" s="152" t="s">
        <v>24</v>
      </c>
      <c r="I19" s="153"/>
      <c r="J19" s="153"/>
      <c r="K19" s="154"/>
      <c r="L19" s="117"/>
      <c r="M19" s="117"/>
      <c r="N19" s="117"/>
      <c r="O19" s="117"/>
    </row>
    <row r="20" spans="2:18" ht="25.5" customHeight="1" x14ac:dyDescent="0.25">
      <c r="B20" s="318"/>
      <c r="C20" s="155">
        <f>F18</f>
        <v>44348</v>
      </c>
      <c r="D20" s="156"/>
      <c r="E20" s="157" t="s">
        <v>32</v>
      </c>
      <c r="F20" s="157" t="s">
        <v>31</v>
      </c>
      <c r="G20" s="157" t="s">
        <v>120</v>
      </c>
      <c r="H20" s="157" t="s">
        <v>121</v>
      </c>
      <c r="I20" s="158" t="s">
        <v>24</v>
      </c>
      <c r="J20" s="159"/>
      <c r="K20" s="160"/>
      <c r="L20" s="117"/>
      <c r="M20" s="117"/>
      <c r="N20" s="117"/>
      <c r="O20" s="117"/>
    </row>
    <row r="21" spans="2:18" ht="25.5" customHeight="1" x14ac:dyDescent="0.25">
      <c r="B21" s="318"/>
      <c r="C21" s="155">
        <f>G18</f>
        <v>44440</v>
      </c>
      <c r="D21" s="161"/>
      <c r="E21" s="159"/>
      <c r="F21" s="157" t="s">
        <v>32</v>
      </c>
      <c r="G21" s="157" t="s">
        <v>31</v>
      </c>
      <c r="H21" s="157" t="s">
        <v>120</v>
      </c>
      <c r="I21" s="157" t="s">
        <v>121</v>
      </c>
      <c r="J21" s="158" t="s">
        <v>24</v>
      </c>
      <c r="K21" s="160"/>
      <c r="L21" s="117"/>
      <c r="M21" s="117"/>
      <c r="N21" s="117"/>
      <c r="O21" s="117"/>
    </row>
    <row r="22" spans="2:18" ht="25.5" customHeight="1" thickBot="1" x14ac:dyDescent="0.3">
      <c r="B22" s="319"/>
      <c r="C22" s="162">
        <f>H18</f>
        <v>44531</v>
      </c>
      <c r="D22" s="163"/>
      <c r="E22" s="164"/>
      <c r="F22" s="164"/>
      <c r="G22" s="165" t="s">
        <v>32</v>
      </c>
      <c r="H22" s="165" t="s">
        <v>31</v>
      </c>
      <c r="I22" s="165" t="s">
        <v>120</v>
      </c>
      <c r="J22" s="165" t="s">
        <v>121</v>
      </c>
      <c r="K22" s="166" t="s">
        <v>24</v>
      </c>
      <c r="L22" s="117"/>
      <c r="M22" s="117"/>
      <c r="N22" s="117"/>
      <c r="O22" s="117"/>
    </row>
    <row r="23" spans="2:18" ht="12" customHeight="1" x14ac:dyDescent="0.25">
      <c r="B23" s="117"/>
      <c r="C23" s="117"/>
      <c r="D23" s="117"/>
      <c r="E23" s="117"/>
      <c r="F23" s="117"/>
      <c r="G23" s="117"/>
      <c r="H23" s="117"/>
      <c r="I23" s="117"/>
      <c r="J23" s="117"/>
      <c r="K23" s="117"/>
      <c r="L23" s="117"/>
      <c r="M23" s="117"/>
      <c r="N23" s="117"/>
      <c r="O23" s="117"/>
    </row>
    <row r="24" spans="2:18" ht="18" x14ac:dyDescent="0.25">
      <c r="B24" s="242" t="s">
        <v>84</v>
      </c>
      <c r="C24" s="242"/>
      <c r="D24" s="242"/>
      <c r="E24" s="242"/>
      <c r="F24" s="242"/>
      <c r="G24" s="242"/>
      <c r="H24" s="242"/>
      <c r="I24" s="242"/>
      <c r="J24" s="242"/>
      <c r="K24" s="242"/>
      <c r="L24" s="242"/>
      <c r="M24" s="242"/>
      <c r="N24" s="242"/>
      <c r="O24" s="242"/>
      <c r="P24" s="90"/>
    </row>
    <row r="25" spans="2:18" ht="12" customHeight="1" x14ac:dyDescent="0.25">
      <c r="B25" s="117"/>
      <c r="C25" s="118"/>
      <c r="D25" s="118"/>
      <c r="E25" s="118"/>
      <c r="F25" s="118"/>
      <c r="G25" s="118"/>
      <c r="H25" s="118"/>
      <c r="I25" s="118"/>
      <c r="J25" s="118"/>
      <c r="K25" s="118"/>
      <c r="L25" s="118"/>
      <c r="M25" s="118"/>
      <c r="N25" s="118"/>
      <c r="O25" s="118"/>
      <c r="P25" s="30"/>
    </row>
    <row r="26" spans="2:18" x14ac:dyDescent="0.25">
      <c r="B26" s="117"/>
      <c r="C26" s="145" t="s">
        <v>39</v>
      </c>
      <c r="D26" s="167">
        <f>$H$10-11</f>
        <v>103</v>
      </c>
      <c r="E26" s="167">
        <f>$H$10-10</f>
        <v>104</v>
      </c>
      <c r="F26" s="167">
        <f>$H$10-9</f>
        <v>105</v>
      </c>
      <c r="G26" s="167">
        <f>$H$10-8</f>
        <v>106</v>
      </c>
      <c r="H26" s="146">
        <f>$H$10-7</f>
        <v>107</v>
      </c>
      <c r="I26" s="146">
        <f>$H$10-6</f>
        <v>108</v>
      </c>
      <c r="J26" s="146">
        <f>$H$10-5</f>
        <v>109</v>
      </c>
      <c r="K26" s="146">
        <f>$H$10-4</f>
        <v>110</v>
      </c>
      <c r="L26" s="146">
        <f>$H$10-3</f>
        <v>111</v>
      </c>
      <c r="M26" s="146">
        <f>$H$10-2</f>
        <v>112</v>
      </c>
      <c r="N26" s="146">
        <f>$H$10-1</f>
        <v>113</v>
      </c>
      <c r="O26" s="146">
        <f>$H$10</f>
        <v>114</v>
      </c>
      <c r="P26" s="30"/>
    </row>
    <row r="27" spans="2:18" x14ac:dyDescent="0.25">
      <c r="B27" s="117"/>
      <c r="C27" s="145" t="s">
        <v>81</v>
      </c>
      <c r="D27" s="147">
        <f>VLOOKUP(D$26,'Data validation'!$E:$K,4,FALSE)</f>
        <v>43891</v>
      </c>
      <c r="E27" s="147">
        <f>VLOOKUP(E$26,'Data validation'!$E:$K,4,FALSE)</f>
        <v>43983</v>
      </c>
      <c r="F27" s="147">
        <f>VLOOKUP(F$26,'Data validation'!$E:$K,4,FALSE)</f>
        <v>44075</v>
      </c>
      <c r="G27" s="147">
        <f>VLOOKUP(G$26,'Data validation'!$E:$K,4,FALSE)</f>
        <v>44166</v>
      </c>
      <c r="H27" s="147">
        <f>VLOOKUP(H$26,'Data validation'!$E:$K,4,FALSE)</f>
        <v>44256</v>
      </c>
      <c r="I27" s="147">
        <f>VLOOKUP(I$26,'Data validation'!$E:$K,4,FALSE)</f>
        <v>44348</v>
      </c>
      <c r="J27" s="147">
        <f>VLOOKUP(J$26,'Data validation'!$E:$K,4,FALSE)</f>
        <v>44440</v>
      </c>
      <c r="K27" s="147">
        <f>VLOOKUP(K$26,'Data validation'!$E:$K,4,FALSE)</f>
        <v>44531</v>
      </c>
      <c r="L27" s="147">
        <f>VLOOKUP(L$26,'Data validation'!$E:$K,4,FALSE)</f>
        <v>44621</v>
      </c>
      <c r="M27" s="147">
        <f>VLOOKUP(M$26,'Data validation'!$E:$K,4,FALSE)</f>
        <v>44713</v>
      </c>
      <c r="N27" s="147">
        <f>VLOOKUP(N$26,'Data validation'!$E:$K,4,FALSE)</f>
        <v>44805</v>
      </c>
      <c r="O27" s="147">
        <f>VLOOKUP(O$26,'Data validation'!$E:$K,4,FALSE)</f>
        <v>44896</v>
      </c>
      <c r="P27" s="30"/>
    </row>
    <row r="28" spans="2:18" ht="15" customHeight="1" thickBot="1" x14ac:dyDescent="0.3">
      <c r="B28" s="117"/>
      <c r="C28" s="145" t="s">
        <v>82</v>
      </c>
      <c r="D28" s="148">
        <f>VLOOKUP(D$26,'Data validation'!$E:$K,7,FALSE)</f>
        <v>43800</v>
      </c>
      <c r="E28" s="148">
        <f>VLOOKUP(E$26,'Data validation'!$E:$K,7,FALSE)</f>
        <v>43891</v>
      </c>
      <c r="F28" s="148">
        <f>VLOOKUP(F$26,'Data validation'!$E:$K,7,FALSE)</f>
        <v>43983</v>
      </c>
      <c r="G28" s="148">
        <f>VLOOKUP(G$26,'Data validation'!$E:$K,7,FALSE)</f>
        <v>44075</v>
      </c>
      <c r="H28" s="148">
        <f>VLOOKUP(H$26,'Data validation'!$E:$K,7,FALSE)</f>
        <v>44166</v>
      </c>
      <c r="I28" s="148">
        <f>VLOOKUP(I$26,'Data validation'!$E:$K,7,FALSE)</f>
        <v>44256</v>
      </c>
      <c r="J28" s="148">
        <f>VLOOKUP(J$26,'Data validation'!$E:$K,7,FALSE)</f>
        <v>44348</v>
      </c>
      <c r="K28" s="148">
        <f>VLOOKUP(K$26,'Data validation'!$E:$K,7,FALSE)</f>
        <v>44440</v>
      </c>
      <c r="L28" s="148">
        <f>VLOOKUP(L$26,'Data validation'!$E:$K,7,FALSE)</f>
        <v>44531</v>
      </c>
      <c r="M28" s="148">
        <f>VLOOKUP(M$26,'Data validation'!$E:$K,7,FALSE)</f>
        <v>44621</v>
      </c>
      <c r="N28" s="148">
        <f>VLOOKUP(N$26,'Data validation'!$E:$K,7,FALSE)</f>
        <v>44713</v>
      </c>
      <c r="O28" s="148">
        <f>VLOOKUP(O$26,'Data validation'!$E:$K,7,FALSE)</f>
        <v>44805</v>
      </c>
      <c r="P28" s="30"/>
    </row>
    <row r="29" spans="2:18" ht="25.5" customHeight="1" thickBot="1" x14ac:dyDescent="0.3">
      <c r="B29" s="317" t="s">
        <v>38</v>
      </c>
      <c r="C29" s="149">
        <f>E28</f>
        <v>43891</v>
      </c>
      <c r="D29" s="168" t="s">
        <v>32</v>
      </c>
      <c r="E29" s="169" t="s">
        <v>31</v>
      </c>
      <c r="F29" s="169" t="s">
        <v>120</v>
      </c>
      <c r="G29" s="169" t="s">
        <v>121</v>
      </c>
      <c r="H29" s="169" t="s">
        <v>33</v>
      </c>
      <c r="I29" s="169" t="s">
        <v>34</v>
      </c>
      <c r="J29" s="169" t="s">
        <v>35</v>
      </c>
      <c r="K29" s="169" t="s">
        <v>36</v>
      </c>
      <c r="L29" s="170" t="s">
        <v>24</v>
      </c>
      <c r="M29" s="153"/>
      <c r="N29" s="153"/>
      <c r="O29" s="154"/>
      <c r="P29" s="6"/>
    </row>
    <row r="30" spans="2:18" ht="25.5" customHeight="1" thickBot="1" x14ac:dyDescent="0.3">
      <c r="B30" s="318"/>
      <c r="C30" s="155">
        <f>F28</f>
        <v>43983</v>
      </c>
      <c r="D30" s="171"/>
      <c r="E30" s="172" t="s">
        <v>32</v>
      </c>
      <c r="F30" s="172" t="s">
        <v>31</v>
      </c>
      <c r="G30" s="172" t="s">
        <v>120</v>
      </c>
      <c r="H30" s="172" t="s">
        <v>121</v>
      </c>
      <c r="I30" s="172" t="s">
        <v>33</v>
      </c>
      <c r="J30" s="172" t="s">
        <v>34</v>
      </c>
      <c r="K30" s="172" t="s">
        <v>35</v>
      </c>
      <c r="L30" s="172" t="s">
        <v>36</v>
      </c>
      <c r="M30" s="158" t="s">
        <v>24</v>
      </c>
      <c r="N30" s="159"/>
      <c r="O30" s="160"/>
      <c r="P30" s="6"/>
    </row>
    <row r="31" spans="2:18" ht="25.5" customHeight="1" thickBot="1" x14ac:dyDescent="0.3">
      <c r="B31" s="318"/>
      <c r="C31" s="155">
        <f>G28</f>
        <v>44075</v>
      </c>
      <c r="D31" s="173"/>
      <c r="E31" s="174"/>
      <c r="F31" s="172" t="s">
        <v>32</v>
      </c>
      <c r="G31" s="172" t="s">
        <v>31</v>
      </c>
      <c r="H31" s="172" t="s">
        <v>120</v>
      </c>
      <c r="I31" s="172" t="s">
        <v>121</v>
      </c>
      <c r="J31" s="172" t="s">
        <v>33</v>
      </c>
      <c r="K31" s="172" t="s">
        <v>34</v>
      </c>
      <c r="L31" s="172" t="s">
        <v>35</v>
      </c>
      <c r="M31" s="172" t="s">
        <v>36</v>
      </c>
      <c r="N31" s="158" t="s">
        <v>24</v>
      </c>
      <c r="O31" s="160"/>
      <c r="P31" s="6"/>
    </row>
    <row r="32" spans="2:18" ht="25.5" customHeight="1" thickBot="1" x14ac:dyDescent="0.3">
      <c r="B32" s="319"/>
      <c r="C32" s="162">
        <f>H28</f>
        <v>44166</v>
      </c>
      <c r="D32" s="163"/>
      <c r="E32" s="164"/>
      <c r="F32" s="164"/>
      <c r="G32" s="165" t="s">
        <v>32</v>
      </c>
      <c r="H32" s="165" t="s">
        <v>31</v>
      </c>
      <c r="I32" s="165" t="s">
        <v>120</v>
      </c>
      <c r="J32" s="165" t="s">
        <v>121</v>
      </c>
      <c r="K32" s="165" t="s">
        <v>33</v>
      </c>
      <c r="L32" s="165" t="s">
        <v>34</v>
      </c>
      <c r="M32" s="165" t="s">
        <v>35</v>
      </c>
      <c r="N32" s="165" t="s">
        <v>36</v>
      </c>
      <c r="O32" s="166" t="s">
        <v>24</v>
      </c>
      <c r="P32" s="6"/>
    </row>
    <row r="33" spans="2:16" ht="12" customHeight="1" x14ac:dyDescent="0.25">
      <c r="C33" s="4"/>
      <c r="D33" s="6"/>
      <c r="E33" s="5"/>
      <c r="F33" s="5"/>
      <c r="G33" s="5"/>
      <c r="H33" s="5"/>
      <c r="I33" s="5"/>
      <c r="J33" s="5"/>
      <c r="K33" s="5"/>
      <c r="L33" s="5"/>
      <c r="M33" s="5"/>
      <c r="N33" s="7"/>
      <c r="O33" s="8"/>
      <c r="P33" s="9"/>
    </row>
    <row r="34" spans="2:16" ht="18" x14ac:dyDescent="0.25">
      <c r="B34" s="242" t="s">
        <v>129</v>
      </c>
      <c r="C34" s="242"/>
      <c r="D34" s="242"/>
      <c r="E34" s="242"/>
      <c r="F34" s="242"/>
      <c r="G34" s="242"/>
      <c r="H34" s="242"/>
      <c r="I34" s="242"/>
      <c r="J34" s="242"/>
      <c r="K34" s="242"/>
      <c r="L34" s="242"/>
      <c r="M34" s="242"/>
      <c r="N34" s="242"/>
      <c r="O34" s="242"/>
    </row>
    <row r="35" spans="2:16" ht="12" customHeight="1" x14ac:dyDescent="0.25">
      <c r="C35" s="4"/>
      <c r="D35" s="6"/>
      <c r="E35" s="5"/>
      <c r="F35" s="5"/>
      <c r="G35" s="5"/>
      <c r="H35" s="5"/>
      <c r="I35" s="5"/>
      <c r="J35" s="5"/>
      <c r="K35" s="5"/>
      <c r="L35" s="5"/>
      <c r="M35" s="5"/>
      <c r="N35" s="7"/>
      <c r="O35" s="8"/>
      <c r="P35" s="9"/>
    </row>
    <row r="36" spans="2:16" ht="15" customHeight="1" x14ac:dyDescent="0.25">
      <c r="B36" s="314" t="s">
        <v>119</v>
      </c>
      <c r="C36" s="315"/>
      <c r="D36" s="315"/>
      <c r="E36" s="315"/>
      <c r="F36" s="315"/>
      <c r="G36" s="315"/>
      <c r="H36" s="315"/>
      <c r="I36" s="315"/>
      <c r="J36" s="315"/>
      <c r="K36" s="315"/>
      <c r="L36" s="315"/>
      <c r="M36" s="315"/>
      <c r="N36" s="315"/>
      <c r="O36" s="316"/>
    </row>
    <row r="37" spans="2:16" ht="12.75" customHeight="1" x14ac:dyDescent="0.25">
      <c r="B37" s="308"/>
      <c r="C37" s="309"/>
      <c r="D37" s="309"/>
      <c r="E37" s="309"/>
      <c r="F37" s="309"/>
      <c r="G37" s="309"/>
      <c r="H37" s="309"/>
      <c r="I37" s="309"/>
      <c r="J37" s="309"/>
      <c r="K37" s="309"/>
      <c r="L37" s="309"/>
      <c r="M37" s="309"/>
      <c r="N37" s="309"/>
      <c r="O37" s="310"/>
    </row>
    <row r="38" spans="2:16" ht="18" customHeight="1" x14ac:dyDescent="0.25">
      <c r="B38" s="139"/>
      <c r="C38" s="140"/>
      <c r="D38" s="140"/>
      <c r="E38" s="140"/>
      <c r="F38" s="140"/>
      <c r="G38" s="140"/>
      <c r="H38" s="140"/>
      <c r="I38" s="140"/>
      <c r="J38" s="140"/>
      <c r="K38" s="140"/>
      <c r="L38" s="140"/>
      <c r="M38" s="140"/>
      <c r="N38" s="140"/>
      <c r="O38" s="141"/>
    </row>
    <row r="39" spans="2:16" ht="15" customHeight="1" x14ac:dyDescent="0.25">
      <c r="B39" s="308" t="str">
        <f>"For example, for commencements and completions above we have the set of review quarters from "&amp;TEXT(C19,"mmm")&amp;"-"&amp;TEXT(C19,"yyy")&amp;" to "&amp;TEXT(C22,"mmm")&amp;"-"&amp;TEXT(C22,"yyy")&amp;" and which collections we use to calculate the initial, first revision and second revision estimates, and the quarter in which the final count emerge. For example, the first time we receive data relating to the "&amp;TEXT(C19,"mmm")&amp;"-"&amp;TEXT(C19,"yyy")&amp;" quarter is in Collection "&amp;D16&amp;", but we do not report on this data. The first time we report on this data is in the next quarter, "&amp;TEXT(C20,"mmm")&amp;"-"&amp;TEXT(C20,"yyy")&amp;", after having received the data for Collection "&amp;E16&amp;". An initial estimate is published for this quarter. The initial estimate then gets revised over the next two collections (Collections "&amp;F16&amp;" and "&amp;G16&amp;"), before the final count emerges and gets reported in Collection "&amp;H16&amp;". Therefore, we can  review the initial and first revision estimates from quarters "&amp;TEXT(C19,"mmm")&amp;"-"&amp;TEXT(C19,"yyy")&amp;" to "&amp;TEXT(C22,"mmm")&amp;"-"&amp;TEXT(C22,"yyy")&amp;" since the final counts for these quarters have been published, with Collection "&amp;K16&amp;" being the final count for quarter "&amp;TEXT(C22,"mmm")&amp;"-"&amp;TEXT(C22,"yyy")&amp;"."</f>
        <v>For example, for commencements and completions above we have the set of review quarters from Mar-2021 to Dec-2021 and which collections we use to calculate the initial, first revision and second revision estimates, and the quarter in which the final count emerge. For example, the first time we receive data relating to the Mar-2021 quarter is in Collection 107, but we do not report on this data. The first time we report on this data is in the next quarter, Jun-2021, after having received the data for Collection 108. An initial estimate is published for this quarter. The initial estimate then gets revised over the next two collections (Collections 109 and 110), before the final count emerges and gets reported in Collection 111. Therefore, we can  review the initial and first revision estimates from quarters Mar-2021 to Dec-2021 since the final counts for these quarters have been published, with Collection 114 being the final count for quarter Dec-2021.</v>
      </c>
      <c r="C39" s="309"/>
      <c r="D39" s="309"/>
      <c r="E39" s="309"/>
      <c r="F39" s="309"/>
      <c r="G39" s="309"/>
      <c r="H39" s="309"/>
      <c r="I39" s="309"/>
      <c r="J39" s="309"/>
      <c r="K39" s="309"/>
      <c r="L39" s="309"/>
      <c r="M39" s="309"/>
      <c r="N39" s="309"/>
      <c r="O39" s="310"/>
    </row>
    <row r="40" spans="2:16" ht="14.25" customHeight="1" x14ac:dyDescent="0.25">
      <c r="B40" s="308"/>
      <c r="C40" s="309"/>
      <c r="D40" s="309"/>
      <c r="E40" s="309"/>
      <c r="F40" s="309"/>
      <c r="G40" s="309"/>
      <c r="H40" s="309"/>
      <c r="I40" s="309"/>
      <c r="J40" s="309"/>
      <c r="K40" s="309"/>
      <c r="L40" s="309"/>
      <c r="M40" s="309"/>
      <c r="N40" s="309"/>
      <c r="O40" s="310"/>
    </row>
    <row r="41" spans="2:16" ht="14.25" customHeight="1" x14ac:dyDescent="0.25">
      <c r="B41" s="308"/>
      <c r="C41" s="309"/>
      <c r="D41" s="309"/>
      <c r="E41" s="309"/>
      <c r="F41" s="309"/>
      <c r="G41" s="309"/>
      <c r="H41" s="309"/>
      <c r="I41" s="309"/>
      <c r="J41" s="309"/>
      <c r="K41" s="309"/>
      <c r="L41" s="309"/>
      <c r="M41" s="309"/>
      <c r="N41" s="309"/>
      <c r="O41" s="310"/>
    </row>
    <row r="42" spans="2:16" ht="15" customHeight="1" x14ac:dyDescent="0.25">
      <c r="B42" s="308"/>
      <c r="C42" s="309"/>
      <c r="D42" s="309"/>
      <c r="E42" s="309"/>
      <c r="F42" s="309"/>
      <c r="G42" s="309"/>
      <c r="H42" s="309"/>
      <c r="I42" s="309"/>
      <c r="J42" s="309"/>
      <c r="K42" s="309"/>
      <c r="L42" s="309"/>
      <c r="M42" s="309"/>
      <c r="N42" s="309"/>
      <c r="O42" s="310"/>
    </row>
    <row r="43" spans="2:16" ht="22.5" customHeight="1" x14ac:dyDescent="0.25">
      <c r="B43" s="308"/>
      <c r="C43" s="309"/>
      <c r="D43" s="309"/>
      <c r="E43" s="309"/>
      <c r="F43" s="309"/>
      <c r="G43" s="309"/>
      <c r="H43" s="309"/>
      <c r="I43" s="309"/>
      <c r="J43" s="309"/>
      <c r="K43" s="309"/>
      <c r="L43" s="309"/>
      <c r="M43" s="309"/>
      <c r="N43" s="309"/>
      <c r="O43" s="310"/>
    </row>
    <row r="44" spans="2:16" ht="18" customHeight="1" x14ac:dyDescent="0.25">
      <c r="B44" s="142"/>
      <c r="C44" s="143"/>
      <c r="D44" s="143"/>
      <c r="E44" s="143"/>
      <c r="F44" s="143"/>
      <c r="G44" s="143"/>
      <c r="H44" s="143"/>
      <c r="I44" s="143"/>
      <c r="J44" s="143"/>
      <c r="K44" s="143"/>
      <c r="L44" s="143"/>
      <c r="M44" s="143"/>
      <c r="N44" s="143"/>
      <c r="O44" s="144"/>
    </row>
    <row r="45" spans="2:16" x14ac:dyDescent="0.25">
      <c r="B45" s="311" t="str">
        <f>"Likewise, for cancellations/withdrawals and in-training, we can review the initial and first revision estimates from quarters "&amp;TEXT(C29,"mmm")&amp;"-"&amp;TEXT(C29,"yyy")&amp;" to "&amp;TEXT(C32,"mmm")&amp;"-"&amp;TEXT(C32,"yyy")&amp;"."</f>
        <v>Likewise, for cancellations/withdrawals and in-training, we can review the initial and first revision estimates from quarters Mar-2020 to Dec-2020.</v>
      </c>
      <c r="C45" s="312"/>
      <c r="D45" s="312"/>
      <c r="E45" s="312"/>
      <c r="F45" s="312"/>
      <c r="G45" s="312"/>
      <c r="H45" s="312"/>
      <c r="I45" s="312"/>
      <c r="J45" s="312"/>
      <c r="K45" s="312"/>
      <c r="L45" s="312"/>
      <c r="M45" s="312"/>
      <c r="N45" s="312"/>
      <c r="O45" s="313"/>
    </row>
  </sheetData>
  <sheetProtection algorithmName="SHA-512" hashValue="z+7aptcPfGQludxJZHUO5aFHwGNlmm1JeaUTovknBU4I13w2Jwz8txK1AZ72EDUaAQNl6DStdkOTCp9VWdMO9A==" saltValue="PDKwcr3iVOP+oTEwZKiLug==" spinCount="100000" sheet="1" objects="1" scenarios="1" selectLockedCells="1"/>
  <mergeCells count="16">
    <mergeCell ref="P16:Q16"/>
    <mergeCell ref="B2:O4"/>
    <mergeCell ref="B14:O14"/>
    <mergeCell ref="B24:O24"/>
    <mergeCell ref="B34:O34"/>
    <mergeCell ref="P15:Q15"/>
    <mergeCell ref="E10:G10"/>
    <mergeCell ref="E11:G11"/>
    <mergeCell ref="E5:H5"/>
    <mergeCell ref="E7:H8"/>
    <mergeCell ref="Q17:R17"/>
    <mergeCell ref="B39:O43"/>
    <mergeCell ref="B45:O45"/>
    <mergeCell ref="B36:O37"/>
    <mergeCell ref="B19:B22"/>
    <mergeCell ref="B29:B32"/>
  </mergeCells>
  <hyperlinks>
    <hyperlink ref="P15:Q15" location="Introduction!A1" display="Back to index" xr:uid="{75DE4BD5-6C5C-451E-9B85-FEFAA2FFC4BB}"/>
    <hyperlink ref="P16:Q16" location="DASHBOARD!A1" display="Dashboard" xr:uid="{A8AB754F-6F19-43C6-8033-0CD0A1F24A97}"/>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G73"/>
  <sheetViews>
    <sheetView topLeftCell="D16" zoomScale="80" zoomScaleNormal="80" workbookViewId="0">
      <selection activeCell="E1" sqref="E1:K73"/>
    </sheetView>
  </sheetViews>
  <sheetFormatPr defaultRowHeight="15" outlineLevelCol="1" x14ac:dyDescent="0.25"/>
  <cols>
    <col min="1" max="1" width="28.140625" hidden="1" customWidth="1" outlineLevel="1"/>
    <col min="2" max="2" width="13.7109375" hidden="1" customWidth="1" outlineLevel="1"/>
    <col min="3" max="3" width="12.42578125" hidden="1" customWidth="1" outlineLevel="1"/>
    <col min="4" max="4" width="9" bestFit="1" customWidth="1" collapsed="1"/>
    <col min="5" max="5" width="10" customWidth="1" outlineLevel="1"/>
    <col min="6" max="6" width="9" customWidth="1" outlineLevel="1"/>
    <col min="7" max="7" width="10" customWidth="1" outlineLevel="1"/>
    <col min="8" max="8" width="13.42578125" customWidth="1" outlineLevel="1"/>
    <col min="9" max="9" width="12.7109375" customWidth="1" outlineLevel="1"/>
    <col min="10" max="10" width="10" customWidth="1" outlineLevel="1"/>
    <col min="11" max="11" width="13.42578125" customWidth="1" outlineLevel="1"/>
    <col min="12" max="12" width="9.85546875" customWidth="1" outlineLevel="1"/>
    <col min="13" max="13" width="9.85546875" customWidth="1"/>
    <col min="14" max="15" width="18.7109375" customWidth="1"/>
    <col min="16" max="19" width="9.85546875" customWidth="1"/>
    <col min="20" max="20" width="9.7109375" customWidth="1"/>
    <col min="21" max="21" width="9.28515625" customWidth="1"/>
  </cols>
  <sheetData>
    <row r="1" spans="1:33" ht="89.25" customHeight="1" x14ac:dyDescent="0.25">
      <c r="A1" s="23" t="s">
        <v>22</v>
      </c>
      <c r="B1" s="23" t="s">
        <v>21</v>
      </c>
      <c r="C1" s="23" t="s">
        <v>23</v>
      </c>
      <c r="E1" s="336" t="s">
        <v>45</v>
      </c>
      <c r="F1" s="335" t="s">
        <v>43</v>
      </c>
      <c r="G1" s="335"/>
      <c r="H1" s="335"/>
      <c r="I1" s="337" t="s">
        <v>42</v>
      </c>
      <c r="J1" s="338"/>
      <c r="K1" s="339"/>
      <c r="L1" s="34"/>
      <c r="V1" s="340" t="s">
        <v>72</v>
      </c>
      <c r="W1" s="341"/>
      <c r="X1" s="341"/>
      <c r="Y1" s="341"/>
      <c r="Z1" s="341"/>
      <c r="AA1" s="341"/>
      <c r="AB1" s="341"/>
      <c r="AC1" s="341"/>
      <c r="AD1" s="341"/>
      <c r="AE1" s="341"/>
      <c r="AF1" s="341"/>
      <c r="AG1" s="342"/>
    </row>
    <row r="2" spans="1:33" x14ac:dyDescent="0.25">
      <c r="A2" s="24" t="s">
        <v>1</v>
      </c>
      <c r="B2" s="27" t="s">
        <v>14</v>
      </c>
      <c r="C2" s="24" t="s">
        <v>31</v>
      </c>
      <c r="E2" s="335"/>
      <c r="F2" s="22" t="s">
        <v>41</v>
      </c>
      <c r="G2" s="22" t="s">
        <v>37</v>
      </c>
      <c r="H2" s="22" t="s">
        <v>44</v>
      </c>
      <c r="I2" s="22" t="s">
        <v>41</v>
      </c>
      <c r="J2" s="22" t="s">
        <v>37</v>
      </c>
      <c r="K2" s="22" t="s">
        <v>44</v>
      </c>
      <c r="L2" s="80"/>
      <c r="M2" t="str">
        <f>'Summary table'!N7</f>
        <v>N</v>
      </c>
      <c r="N2" t="str">
        <f>IF(M2="Y","Y",IF(M2="N","N","None1"))</f>
        <v>N</v>
      </c>
      <c r="Q2" s="37">
        <f>IFERROR((('Pivot tables'!X10-'Pivot tables'!W10)/'Pivot tables'!X10),0)</f>
        <v>0</v>
      </c>
      <c r="R2" s="37" t="str">
        <f>IF(Q2=0,"None",IF(Q2&gt;0,"Down","Up"))</f>
        <v>None</v>
      </c>
      <c r="V2" s="49" t="s">
        <v>65</v>
      </c>
      <c r="W2" s="50" t="s">
        <v>66</v>
      </c>
      <c r="X2" s="51" t="s">
        <v>67</v>
      </c>
      <c r="Y2" s="49" t="s">
        <v>65</v>
      </c>
      <c r="Z2" s="50" t="s">
        <v>66</v>
      </c>
      <c r="AA2" s="51" t="s">
        <v>67</v>
      </c>
      <c r="AB2" s="49" t="s">
        <v>65</v>
      </c>
      <c r="AC2" s="50" t="s">
        <v>66</v>
      </c>
      <c r="AD2" s="51" t="s">
        <v>67</v>
      </c>
      <c r="AE2" s="49" t="s">
        <v>65</v>
      </c>
      <c r="AF2" s="50" t="s">
        <v>66</v>
      </c>
      <c r="AG2" s="51" t="s">
        <v>67</v>
      </c>
    </row>
    <row r="3" spans="1:33" x14ac:dyDescent="0.25">
      <c r="A3" s="25" t="s">
        <v>2</v>
      </c>
      <c r="B3" s="28" t="s">
        <v>13</v>
      </c>
      <c r="C3" s="25" t="s">
        <v>0</v>
      </c>
      <c r="E3" s="19">
        <v>80</v>
      </c>
      <c r="F3" s="13">
        <v>2014.2</v>
      </c>
      <c r="G3" s="13">
        <v>2014.4</v>
      </c>
      <c r="H3" s="14">
        <v>41791</v>
      </c>
      <c r="I3" s="13">
        <v>2014.1</v>
      </c>
      <c r="J3" s="13">
        <v>2014.3</v>
      </c>
      <c r="K3" s="14">
        <v>41699</v>
      </c>
      <c r="L3" s="81"/>
      <c r="M3" t="str">
        <f>'Summary table'!N8</f>
        <v>Y</v>
      </c>
      <c r="N3" t="str">
        <f t="shared" ref="N3:N5" si="0">IF(M3="Y","Y",IF(M3="N","N","None1"))</f>
        <v>Y</v>
      </c>
      <c r="Q3" s="37">
        <f>IFERROR((('Pivot tables'!X11-'Pivot tables'!W11)/'Pivot tables'!X11),0)</f>
        <v>0</v>
      </c>
      <c r="R3" s="37" t="str">
        <f t="shared" ref="R3:R5" si="1">IF(Q3=0,"None",IF(Q3&gt;0,"Down","Up"))</f>
        <v>None</v>
      </c>
      <c r="V3" s="49">
        <v>0</v>
      </c>
      <c r="W3" s="50">
        <v>55</v>
      </c>
      <c r="X3" s="51">
        <v>103</v>
      </c>
      <c r="Y3" s="49">
        <v>67</v>
      </c>
      <c r="Z3" s="50">
        <v>149</v>
      </c>
      <c r="AA3" s="51">
        <v>57</v>
      </c>
      <c r="AB3" s="49">
        <v>120</v>
      </c>
      <c r="AC3" s="50">
        <v>39</v>
      </c>
      <c r="AD3" s="51">
        <v>139</v>
      </c>
      <c r="AE3" s="49">
        <v>0</v>
      </c>
      <c r="AF3" s="50">
        <v>129</v>
      </c>
      <c r="AG3" s="51">
        <v>198</v>
      </c>
    </row>
    <row r="4" spans="1:33" x14ac:dyDescent="0.25">
      <c r="A4" s="25" t="s">
        <v>3</v>
      </c>
      <c r="B4" s="25" t="s">
        <v>12</v>
      </c>
      <c r="C4" s="25"/>
      <c r="E4" s="20">
        <v>81</v>
      </c>
      <c r="F4" s="15">
        <v>2014.3</v>
      </c>
      <c r="G4" s="13">
        <v>2015.1</v>
      </c>
      <c r="H4" s="16">
        <v>41883</v>
      </c>
      <c r="I4" s="15">
        <v>2014.2</v>
      </c>
      <c r="J4" s="13">
        <v>2014.4</v>
      </c>
      <c r="K4" s="16">
        <v>41791</v>
      </c>
      <c r="L4" s="81"/>
      <c r="M4" t="str">
        <f>'Summary table'!N9</f>
        <v>Y</v>
      </c>
      <c r="N4" t="str">
        <f t="shared" si="0"/>
        <v>Y</v>
      </c>
      <c r="Q4" s="37">
        <f>IFERROR((('Pivot tables'!X12-'Pivot tables'!W12)/'Pivot tables'!X12),0)</f>
        <v>0</v>
      </c>
      <c r="R4" s="37" t="str">
        <f t="shared" si="1"/>
        <v>None</v>
      </c>
      <c r="U4" s="61">
        <v>1</v>
      </c>
      <c r="V4" s="45"/>
      <c r="W4" s="45"/>
      <c r="X4" s="45"/>
      <c r="Y4" s="46"/>
      <c r="Z4" s="46"/>
      <c r="AA4" s="46"/>
      <c r="AB4" s="47"/>
      <c r="AC4" s="47"/>
      <c r="AD4" s="47"/>
      <c r="AE4" s="48"/>
      <c r="AF4" s="48"/>
      <c r="AG4" s="48"/>
    </row>
    <row r="5" spans="1:33" x14ac:dyDescent="0.25">
      <c r="A5" s="25" t="s">
        <v>4</v>
      </c>
      <c r="B5" s="25" t="s">
        <v>15</v>
      </c>
      <c r="C5" s="25"/>
      <c r="E5" s="20">
        <v>82</v>
      </c>
      <c r="F5" s="15">
        <f>IF(VALUE(RIGHT(F4,1))=4,F4+0.7,F4+0.1)</f>
        <v>2014.3999999999999</v>
      </c>
      <c r="G5" s="13">
        <f>IF(VALUE(RIGHT(G4,1))=4,G4+0.7,G4+0.1)</f>
        <v>2015.1999999999998</v>
      </c>
      <c r="H5" s="16">
        <f>DATE(LEFT(F5,4),RIGHT(F5,1)*3,1)</f>
        <v>41974</v>
      </c>
      <c r="I5" s="15">
        <f>IF(VALUE(RIGHT(I4,1))=4,I4+0.7,I4+0.1)</f>
        <v>2014.3</v>
      </c>
      <c r="J5" s="13">
        <f>IF(VALUE(RIGHT(J4,1))=4,J4+0.7,J4+0.1)</f>
        <v>2015.1000000000001</v>
      </c>
      <c r="K5" s="16">
        <f>DATE(LEFT(I5,4),RIGHT(I5,1)*3,1)</f>
        <v>41883</v>
      </c>
      <c r="L5" s="81"/>
      <c r="M5" t="str">
        <f>'Summary table'!N10</f>
        <v>N</v>
      </c>
      <c r="N5" t="str">
        <f t="shared" si="0"/>
        <v>N</v>
      </c>
      <c r="Q5" s="37">
        <f>IFERROR((('Pivot tables'!X13-'Pivot tables'!W13)/'Pivot tables'!X13),0)</f>
        <v>0</v>
      </c>
      <c r="R5" s="37" t="str">
        <f t="shared" si="1"/>
        <v>None</v>
      </c>
      <c r="V5" s="49">
        <f>ROUND(V$3+(255-V$3)*0.75,0)</f>
        <v>191</v>
      </c>
      <c r="W5" s="50">
        <f t="shared" ref="W5:AG5" si="2">ROUND(W$3+(255-W$3)*0.75,0)</f>
        <v>205</v>
      </c>
      <c r="X5" s="51">
        <f t="shared" si="2"/>
        <v>217</v>
      </c>
      <c r="Y5" s="49">
        <f>ROUND(Y$3+(255-Y$3)*0.75,0)</f>
        <v>208</v>
      </c>
      <c r="Z5" s="50">
        <f t="shared" si="2"/>
        <v>229</v>
      </c>
      <c r="AA5" s="51">
        <f t="shared" si="2"/>
        <v>206</v>
      </c>
      <c r="AB5" s="49">
        <f>ROUND(AB$3+(255-AB$3)*0.75,0)</f>
        <v>221</v>
      </c>
      <c r="AC5" s="50">
        <f t="shared" si="2"/>
        <v>201</v>
      </c>
      <c r="AD5" s="51">
        <f t="shared" si="2"/>
        <v>226</v>
      </c>
      <c r="AE5" s="49">
        <f>ROUND(AE$3+(255-AE$3)*0.75,0)</f>
        <v>191</v>
      </c>
      <c r="AF5" s="50">
        <f t="shared" si="2"/>
        <v>224</v>
      </c>
      <c r="AG5" s="51">
        <f t="shared" si="2"/>
        <v>241</v>
      </c>
    </row>
    <row r="6" spans="1:33" x14ac:dyDescent="0.25">
      <c r="A6" s="25" t="s">
        <v>5</v>
      </c>
      <c r="B6" s="25"/>
      <c r="C6" s="25"/>
      <c r="E6" s="20">
        <v>83</v>
      </c>
      <c r="F6" s="15">
        <f t="shared" ref="F6:F71" si="3">IF(VALUE(RIGHT(F5,1))=4,F5+0.7,F5+0.1)</f>
        <v>2015.1</v>
      </c>
      <c r="G6" s="13">
        <f t="shared" ref="G6:G71" si="4">IF(VALUE(RIGHT(G5,1))=4,G5+0.7,G5+0.1)</f>
        <v>2015.2999999999997</v>
      </c>
      <c r="H6" s="16">
        <f t="shared" ref="H6:H33" si="5">DATE(LEFT(F6,4),RIGHT(F6,1)*3,1)</f>
        <v>42064</v>
      </c>
      <c r="I6" s="15">
        <f t="shared" ref="I6:I71" si="6">IF(VALUE(RIGHT(I5,1))=4,I5+0.7,I5+0.1)</f>
        <v>2014.3999999999999</v>
      </c>
      <c r="J6" s="13">
        <f t="shared" ref="J6:J71" si="7">IF(VALUE(RIGHT(J5,1))=4,J5+0.7,J5+0.1)</f>
        <v>2015.2</v>
      </c>
      <c r="K6" s="16">
        <f t="shared" ref="K6:K33" si="8">DATE(LEFT(I6,4),RIGHT(I6,1)*3,1)</f>
        <v>41974</v>
      </c>
      <c r="L6" s="81"/>
      <c r="U6" s="61">
        <v>0.25</v>
      </c>
      <c r="V6" s="52"/>
      <c r="W6" s="52"/>
      <c r="X6" s="52"/>
      <c r="Y6" s="55"/>
      <c r="Z6" s="55"/>
      <c r="AA6" s="55"/>
      <c r="AB6" s="58"/>
      <c r="AC6" s="58"/>
      <c r="AD6" s="58"/>
      <c r="AE6" s="62"/>
      <c r="AF6" s="62"/>
      <c r="AG6" s="62"/>
    </row>
    <row r="7" spans="1:33" x14ac:dyDescent="0.25">
      <c r="A7" s="25" t="s">
        <v>6</v>
      </c>
      <c r="B7" s="25"/>
      <c r="C7" s="25"/>
      <c r="E7" s="20">
        <v>84</v>
      </c>
      <c r="F7" s="15">
        <f t="shared" si="3"/>
        <v>2015.1999999999998</v>
      </c>
      <c r="G7" s="13">
        <f t="shared" si="4"/>
        <v>2015.3999999999996</v>
      </c>
      <c r="H7" s="16">
        <f t="shared" si="5"/>
        <v>42156</v>
      </c>
      <c r="I7" s="15">
        <f t="shared" si="6"/>
        <v>2015.1</v>
      </c>
      <c r="J7" s="13">
        <f t="shared" si="7"/>
        <v>2015.3</v>
      </c>
      <c r="K7" s="16">
        <f t="shared" si="8"/>
        <v>42064</v>
      </c>
      <c r="L7" s="81"/>
      <c r="V7" s="49">
        <f>ROUND(V$3+(255-V$3)*0.5,0)</f>
        <v>128</v>
      </c>
      <c r="W7" s="50">
        <f t="shared" ref="W7:AG7" si="9">ROUND(W$3+(255-W$3)*0.5,0)</f>
        <v>155</v>
      </c>
      <c r="X7" s="51">
        <f t="shared" si="9"/>
        <v>179</v>
      </c>
      <c r="Y7" s="49">
        <f>ROUND(Y$3+(255-Y$3)*0.5,0)</f>
        <v>161</v>
      </c>
      <c r="Z7" s="50">
        <f t="shared" si="9"/>
        <v>202</v>
      </c>
      <c r="AA7" s="51">
        <f t="shared" si="9"/>
        <v>156</v>
      </c>
      <c r="AB7" s="49">
        <f>ROUND(AB$3+(255-AB$3)*0.5,0)</f>
        <v>188</v>
      </c>
      <c r="AC7" s="50">
        <f t="shared" si="9"/>
        <v>147</v>
      </c>
      <c r="AD7" s="51">
        <f t="shared" si="9"/>
        <v>197</v>
      </c>
      <c r="AE7" s="49">
        <f>ROUND(AE$3+(255-AE$3)*0.5,0)</f>
        <v>128</v>
      </c>
      <c r="AF7" s="50">
        <f t="shared" si="9"/>
        <v>192</v>
      </c>
      <c r="AG7" s="51">
        <f t="shared" si="9"/>
        <v>227</v>
      </c>
    </row>
    <row r="8" spans="1:33" x14ac:dyDescent="0.25">
      <c r="A8" s="25" t="s">
        <v>7</v>
      </c>
      <c r="B8" s="25"/>
      <c r="C8" s="25"/>
      <c r="E8" s="20">
        <v>85</v>
      </c>
      <c r="F8" s="15">
        <f t="shared" si="3"/>
        <v>2015.2999999999997</v>
      </c>
      <c r="G8" s="13">
        <f t="shared" si="4"/>
        <v>2016.0999999999997</v>
      </c>
      <c r="H8" s="16">
        <f t="shared" si="5"/>
        <v>42248</v>
      </c>
      <c r="I8" s="15">
        <f t="shared" si="6"/>
        <v>2015.1999999999998</v>
      </c>
      <c r="J8" s="13">
        <f t="shared" si="7"/>
        <v>2015.3999999999999</v>
      </c>
      <c r="K8" s="16">
        <f t="shared" si="8"/>
        <v>42156</v>
      </c>
      <c r="L8" s="81"/>
      <c r="Q8" t="s">
        <v>87</v>
      </c>
      <c r="U8" s="61">
        <v>0.5</v>
      </c>
      <c r="V8" s="53"/>
      <c r="W8" s="53"/>
      <c r="X8" s="53"/>
      <c r="Y8" s="56"/>
      <c r="Z8" s="56"/>
      <c r="AA8" s="56"/>
      <c r="AB8" s="59"/>
      <c r="AC8" s="59"/>
      <c r="AD8" s="59"/>
      <c r="AE8" s="63"/>
      <c r="AF8" s="63"/>
      <c r="AG8" s="63"/>
    </row>
    <row r="9" spans="1:33" x14ac:dyDescent="0.25">
      <c r="A9" s="25" t="s">
        <v>8</v>
      </c>
      <c r="B9" s="25"/>
      <c r="C9" s="25"/>
      <c r="E9" s="20">
        <v>86</v>
      </c>
      <c r="F9" s="15">
        <f t="shared" si="3"/>
        <v>2015.3999999999996</v>
      </c>
      <c r="G9" s="13">
        <f t="shared" si="4"/>
        <v>2016.1999999999996</v>
      </c>
      <c r="H9" s="16">
        <f t="shared" si="5"/>
        <v>42339</v>
      </c>
      <c r="I9" s="15">
        <f t="shared" si="6"/>
        <v>2015.2999999999997</v>
      </c>
      <c r="J9" s="13">
        <f t="shared" si="7"/>
        <v>2016.1</v>
      </c>
      <c r="K9" s="16">
        <f t="shared" si="8"/>
        <v>42248</v>
      </c>
      <c r="L9" s="81"/>
      <c r="Q9" t="s">
        <v>87</v>
      </c>
      <c r="V9" s="49">
        <f>ROUND(V$3+(255-V$3)*0.25,0)</f>
        <v>64</v>
      </c>
      <c r="W9" s="50">
        <f t="shared" ref="W9:AG9" si="10">ROUND(W$3+(255-W$3)*0.25,0)</f>
        <v>105</v>
      </c>
      <c r="X9" s="51">
        <f t="shared" si="10"/>
        <v>141</v>
      </c>
      <c r="Y9" s="49">
        <f>ROUND(Y$3+(255-Y$3)*0.25,0)</f>
        <v>114</v>
      </c>
      <c r="Z9" s="50">
        <f t="shared" si="10"/>
        <v>176</v>
      </c>
      <c r="AA9" s="51">
        <f t="shared" si="10"/>
        <v>107</v>
      </c>
      <c r="AB9" s="49">
        <f>ROUND(AB$3+(255-AB$3)*0.25,0)</f>
        <v>154</v>
      </c>
      <c r="AC9" s="50">
        <f t="shared" si="10"/>
        <v>93</v>
      </c>
      <c r="AD9" s="51">
        <f t="shared" si="10"/>
        <v>168</v>
      </c>
      <c r="AE9" s="49">
        <f>ROUND(AE$3+(255-AE$3)*0.25,0)</f>
        <v>64</v>
      </c>
      <c r="AF9" s="50">
        <f t="shared" si="10"/>
        <v>161</v>
      </c>
      <c r="AG9" s="51">
        <f t="shared" si="10"/>
        <v>212</v>
      </c>
    </row>
    <row r="10" spans="1:33" x14ac:dyDescent="0.25">
      <c r="A10" s="26" t="s">
        <v>9</v>
      </c>
      <c r="B10" s="26"/>
      <c r="C10" s="26"/>
      <c r="E10" s="20">
        <v>87</v>
      </c>
      <c r="F10" s="15">
        <f t="shared" si="3"/>
        <v>2016.0999999999997</v>
      </c>
      <c r="G10" s="13">
        <f t="shared" si="4"/>
        <v>2016.2999999999995</v>
      </c>
      <c r="H10" s="16">
        <f t="shared" si="5"/>
        <v>42430</v>
      </c>
      <c r="I10" s="15">
        <f t="shared" si="6"/>
        <v>2015.3999999999996</v>
      </c>
      <c r="J10" s="13">
        <f t="shared" si="7"/>
        <v>2016.1999999999998</v>
      </c>
      <c r="K10" s="16">
        <f t="shared" si="8"/>
        <v>42339</v>
      </c>
      <c r="L10" s="81"/>
      <c r="Q10" t="s">
        <v>87</v>
      </c>
      <c r="U10" s="61">
        <v>0.75</v>
      </c>
      <c r="V10" s="54"/>
      <c r="W10" s="54"/>
      <c r="X10" s="54"/>
      <c r="Y10" s="57"/>
      <c r="Z10" s="57"/>
      <c r="AA10" s="57"/>
      <c r="AB10" s="60"/>
      <c r="AC10" s="60"/>
      <c r="AD10" s="60"/>
      <c r="AE10" s="64"/>
      <c r="AF10" s="64"/>
      <c r="AG10" s="64"/>
    </row>
    <row r="11" spans="1:33" x14ac:dyDescent="0.25">
      <c r="E11" s="20">
        <v>88</v>
      </c>
      <c r="F11" s="15">
        <f t="shared" si="3"/>
        <v>2016.1999999999996</v>
      </c>
      <c r="G11" s="13">
        <f t="shared" si="4"/>
        <v>2016.3999999999994</v>
      </c>
      <c r="H11" s="16">
        <f t="shared" si="5"/>
        <v>42522</v>
      </c>
      <c r="I11" s="15">
        <f t="shared" si="6"/>
        <v>2016.0999999999997</v>
      </c>
      <c r="J11" s="13">
        <f t="shared" si="7"/>
        <v>2016.2999999999997</v>
      </c>
      <c r="K11" s="16">
        <f t="shared" si="8"/>
        <v>42430</v>
      </c>
      <c r="L11" s="81"/>
      <c r="M11" s="74" t="s">
        <v>49</v>
      </c>
      <c r="N11" s="74" t="s">
        <v>57</v>
      </c>
      <c r="Q11" t="s">
        <v>87</v>
      </c>
    </row>
    <row r="12" spans="1:33" x14ac:dyDescent="0.25">
      <c r="A12" s="33"/>
      <c r="E12" s="20">
        <v>89</v>
      </c>
      <c r="F12" s="15">
        <f t="shared" si="3"/>
        <v>2016.2999999999995</v>
      </c>
      <c r="G12" s="13">
        <f t="shared" si="4"/>
        <v>2017.0999999999995</v>
      </c>
      <c r="H12" s="16">
        <f t="shared" si="5"/>
        <v>42614</v>
      </c>
      <c r="I12" s="15">
        <f t="shared" si="6"/>
        <v>2016.1999999999996</v>
      </c>
      <c r="J12" s="13">
        <f t="shared" si="7"/>
        <v>2016.3999999999996</v>
      </c>
      <c r="K12" s="16">
        <f t="shared" si="8"/>
        <v>42522</v>
      </c>
      <c r="L12" s="81"/>
      <c r="M12" s="39">
        <f>'Pivot tables'!L10</f>
        <v>0.997</v>
      </c>
      <c r="N12" s="38" t="e">
        <f>'Pivot tables'!M10</f>
        <v>#N/A</v>
      </c>
    </row>
    <row r="13" spans="1:33" x14ac:dyDescent="0.25">
      <c r="E13" s="20">
        <v>90</v>
      </c>
      <c r="F13" s="15">
        <f t="shared" si="3"/>
        <v>2016.3999999999994</v>
      </c>
      <c r="G13" s="13">
        <f t="shared" si="4"/>
        <v>2017.1999999999994</v>
      </c>
      <c r="H13" s="16">
        <f t="shared" si="5"/>
        <v>42705</v>
      </c>
      <c r="I13" s="15">
        <f t="shared" si="6"/>
        <v>2016.2999999999995</v>
      </c>
      <c r="J13" s="13">
        <f t="shared" si="7"/>
        <v>2017.0999999999997</v>
      </c>
      <c r="K13" s="16">
        <f t="shared" si="8"/>
        <v>42614</v>
      </c>
      <c r="L13" s="81"/>
      <c r="V13" t="s">
        <v>68</v>
      </c>
    </row>
    <row r="14" spans="1:33" x14ac:dyDescent="0.25">
      <c r="E14" s="20">
        <v>91</v>
      </c>
      <c r="F14" s="15">
        <f t="shared" si="3"/>
        <v>2017.0999999999995</v>
      </c>
      <c r="G14" s="13">
        <f t="shared" si="4"/>
        <v>2017.2999999999993</v>
      </c>
      <c r="H14" s="16">
        <f t="shared" si="5"/>
        <v>42795</v>
      </c>
      <c r="I14" s="15">
        <f t="shared" si="6"/>
        <v>2016.3999999999994</v>
      </c>
      <c r="J14" s="13">
        <f t="shared" si="7"/>
        <v>2017.1999999999996</v>
      </c>
      <c r="K14" s="16">
        <f t="shared" si="8"/>
        <v>42705</v>
      </c>
      <c r="L14" s="81"/>
      <c r="V14" t="s">
        <v>69</v>
      </c>
    </row>
    <row r="15" spans="1:33" x14ac:dyDescent="0.25">
      <c r="E15" s="20">
        <v>92</v>
      </c>
      <c r="F15" s="15">
        <f t="shared" si="3"/>
        <v>2017.1999999999994</v>
      </c>
      <c r="G15" s="13">
        <f t="shared" si="4"/>
        <v>2017.3999999999992</v>
      </c>
      <c r="H15" s="16">
        <f t="shared" si="5"/>
        <v>42887</v>
      </c>
      <c r="I15" s="15">
        <f t="shared" si="6"/>
        <v>2017.0999999999995</v>
      </c>
      <c r="J15" s="13">
        <f t="shared" si="7"/>
        <v>2017.2999999999995</v>
      </c>
      <c r="K15" s="16">
        <f t="shared" si="8"/>
        <v>42795</v>
      </c>
      <c r="L15" s="81"/>
      <c r="V15" t="s">
        <v>70</v>
      </c>
    </row>
    <row r="16" spans="1:33" x14ac:dyDescent="0.25">
      <c r="E16" s="20">
        <v>93</v>
      </c>
      <c r="F16" s="15">
        <f t="shared" si="3"/>
        <v>2017.2999999999993</v>
      </c>
      <c r="G16" s="13">
        <f t="shared" si="4"/>
        <v>2018.0999999999992</v>
      </c>
      <c r="H16" s="16">
        <f t="shared" si="5"/>
        <v>42979</v>
      </c>
      <c r="I16" s="15">
        <f t="shared" si="6"/>
        <v>2017.1999999999994</v>
      </c>
      <c r="J16" s="13">
        <f t="shared" si="7"/>
        <v>2017.3999999999994</v>
      </c>
      <c r="K16" s="16">
        <f t="shared" si="8"/>
        <v>42887</v>
      </c>
      <c r="L16" s="81"/>
      <c r="M16" s="343" t="str">
        <f>CONCATENATE("For quarter ",'Pivot tables'!$K$10,", what is the estimate as a % of final count?")</f>
        <v>For quarter 44256, what is the estimate as a % of final count?</v>
      </c>
      <c r="N16" s="343"/>
      <c r="O16" s="343"/>
      <c r="P16" s="343"/>
      <c r="V16" t="s">
        <v>71</v>
      </c>
    </row>
    <row r="17" spans="5:30" x14ac:dyDescent="0.25">
      <c r="E17" s="20">
        <v>94</v>
      </c>
      <c r="F17" s="15">
        <f t="shared" si="3"/>
        <v>2017.3999999999992</v>
      </c>
      <c r="G17" s="13">
        <f t="shared" si="4"/>
        <v>2018.1999999999991</v>
      </c>
      <c r="H17" s="16">
        <f t="shared" si="5"/>
        <v>43070</v>
      </c>
      <c r="I17" s="15">
        <f t="shared" si="6"/>
        <v>2017.2999999999993</v>
      </c>
      <c r="J17" s="13">
        <f t="shared" si="7"/>
        <v>2018.0999999999995</v>
      </c>
      <c r="K17" s="16">
        <f t="shared" si="8"/>
        <v>42979</v>
      </c>
      <c r="L17" s="81"/>
      <c r="M17" s="343"/>
      <c r="N17" s="343"/>
      <c r="O17" s="343"/>
      <c r="P17" s="343"/>
    </row>
    <row r="18" spans="5:30" x14ac:dyDescent="0.25">
      <c r="E18" s="20">
        <v>95</v>
      </c>
      <c r="F18" s="15">
        <f t="shared" si="3"/>
        <v>2018.0999999999992</v>
      </c>
      <c r="G18" s="13">
        <f t="shared" si="4"/>
        <v>2018.299999999999</v>
      </c>
      <c r="H18" s="16">
        <f t="shared" si="5"/>
        <v>43160</v>
      </c>
      <c r="I18" s="15">
        <f t="shared" si="6"/>
        <v>2017.3999999999992</v>
      </c>
      <c r="J18" s="13">
        <f t="shared" si="7"/>
        <v>2018.1999999999994</v>
      </c>
      <c r="K18" s="16">
        <f t="shared" si="8"/>
        <v>43070</v>
      </c>
      <c r="L18" s="81"/>
    </row>
    <row r="19" spans="5:30" x14ac:dyDescent="0.25">
      <c r="E19" s="20">
        <v>96</v>
      </c>
      <c r="F19" s="15">
        <f t="shared" si="3"/>
        <v>2018.1999999999991</v>
      </c>
      <c r="G19" s="13">
        <f t="shared" si="4"/>
        <v>2018.399999999999</v>
      </c>
      <c r="H19" s="16">
        <f t="shared" si="5"/>
        <v>43252</v>
      </c>
      <c r="I19" s="15">
        <f t="shared" si="6"/>
        <v>2018.0999999999992</v>
      </c>
      <c r="J19" s="13">
        <f t="shared" si="7"/>
        <v>2018.2999999999993</v>
      </c>
      <c r="K19" s="16">
        <f t="shared" si="8"/>
        <v>43160</v>
      </c>
      <c r="L19" s="81"/>
      <c r="U19" t="s">
        <v>74</v>
      </c>
      <c r="V19" s="65" t="s">
        <v>73</v>
      </c>
    </row>
    <row r="20" spans="5:30" ht="16.5" x14ac:dyDescent="0.3">
      <c r="E20" s="20">
        <v>97</v>
      </c>
      <c r="F20" s="15">
        <f t="shared" si="3"/>
        <v>2018.299999999999</v>
      </c>
      <c r="G20" s="13">
        <f t="shared" si="4"/>
        <v>2019.099999999999</v>
      </c>
      <c r="H20" s="16">
        <f t="shared" si="5"/>
        <v>43344</v>
      </c>
      <c r="I20" s="15">
        <f t="shared" si="6"/>
        <v>2018.1999999999991</v>
      </c>
      <c r="J20" s="13">
        <f t="shared" si="7"/>
        <v>2018.3999999999992</v>
      </c>
      <c r="K20" s="16">
        <f t="shared" si="8"/>
        <v>43252</v>
      </c>
      <c r="L20" s="81"/>
      <c r="V20" s="66" t="s">
        <v>75</v>
      </c>
    </row>
    <row r="21" spans="5:30" x14ac:dyDescent="0.25">
      <c r="E21" s="20">
        <v>98</v>
      </c>
      <c r="F21" s="15">
        <f t="shared" si="3"/>
        <v>2018.399999999999</v>
      </c>
      <c r="G21" s="13">
        <f t="shared" si="4"/>
        <v>2019.1999999999989</v>
      </c>
      <c r="H21" s="16">
        <f t="shared" si="5"/>
        <v>43435</v>
      </c>
      <c r="I21" s="15">
        <f t="shared" si="6"/>
        <v>2018.299999999999</v>
      </c>
      <c r="J21" s="13">
        <f t="shared" si="7"/>
        <v>2019.0999999999992</v>
      </c>
      <c r="K21" s="16">
        <f t="shared" si="8"/>
        <v>43344</v>
      </c>
      <c r="L21" s="81"/>
    </row>
    <row r="22" spans="5:30" x14ac:dyDescent="0.25">
      <c r="E22" s="20">
        <v>99</v>
      </c>
      <c r="F22" s="15">
        <f t="shared" si="3"/>
        <v>2019.099999999999</v>
      </c>
      <c r="G22" s="13">
        <f t="shared" si="4"/>
        <v>2019.2999999999988</v>
      </c>
      <c r="H22" s="16">
        <f t="shared" si="5"/>
        <v>43525</v>
      </c>
      <c r="I22" s="15">
        <f t="shared" si="6"/>
        <v>2018.399999999999</v>
      </c>
      <c r="J22" s="13">
        <f t="shared" si="7"/>
        <v>2019.1999999999991</v>
      </c>
      <c r="K22" s="16">
        <f t="shared" si="8"/>
        <v>43435</v>
      </c>
      <c r="L22" s="81"/>
    </row>
    <row r="23" spans="5:30" x14ac:dyDescent="0.25">
      <c r="E23" s="20">
        <v>100</v>
      </c>
      <c r="F23" s="15">
        <f t="shared" si="3"/>
        <v>2019.1999999999989</v>
      </c>
      <c r="G23" s="13">
        <f t="shared" si="4"/>
        <v>2019.3999999999987</v>
      </c>
      <c r="H23" s="16">
        <f t="shared" si="5"/>
        <v>43617</v>
      </c>
      <c r="I23" s="15">
        <f t="shared" si="6"/>
        <v>2019.099999999999</v>
      </c>
      <c r="J23" s="13">
        <f t="shared" si="7"/>
        <v>2019.299999999999</v>
      </c>
      <c r="K23" s="16">
        <f t="shared" si="8"/>
        <v>43525</v>
      </c>
      <c r="L23" s="81"/>
    </row>
    <row r="24" spans="5:30" x14ac:dyDescent="0.25">
      <c r="E24" s="20">
        <v>101</v>
      </c>
      <c r="F24" s="15">
        <f t="shared" si="3"/>
        <v>2019.2999999999988</v>
      </c>
      <c r="G24" s="13">
        <f t="shared" si="4"/>
        <v>2020.0999999999988</v>
      </c>
      <c r="H24" s="16">
        <f t="shared" si="5"/>
        <v>43709</v>
      </c>
      <c r="I24" s="15">
        <f t="shared" si="6"/>
        <v>2019.1999999999989</v>
      </c>
      <c r="J24" s="13">
        <f t="shared" si="7"/>
        <v>2019.399999999999</v>
      </c>
      <c r="K24" s="16">
        <f t="shared" si="8"/>
        <v>43617</v>
      </c>
      <c r="L24" s="81"/>
      <c r="V24" t="s">
        <v>3</v>
      </c>
      <c r="AB24" t="s">
        <v>139</v>
      </c>
    </row>
    <row r="25" spans="5:30" x14ac:dyDescent="0.25">
      <c r="E25" s="20">
        <v>102</v>
      </c>
      <c r="F25" s="15">
        <f t="shared" si="3"/>
        <v>2019.3999999999987</v>
      </c>
      <c r="G25" s="13">
        <f t="shared" si="4"/>
        <v>2020.1999999999987</v>
      </c>
      <c r="H25" s="16">
        <f t="shared" si="5"/>
        <v>43800</v>
      </c>
      <c r="I25" s="15">
        <f t="shared" si="6"/>
        <v>2019.2999999999988</v>
      </c>
      <c r="J25" s="13">
        <f t="shared" si="7"/>
        <v>2020.099999999999</v>
      </c>
      <c r="K25" s="16">
        <f t="shared" si="8"/>
        <v>43709</v>
      </c>
      <c r="L25" s="81"/>
      <c r="V25" t="s">
        <v>8</v>
      </c>
      <c r="AC25" t="s">
        <v>140</v>
      </c>
      <c r="AD25" t="s">
        <v>141</v>
      </c>
    </row>
    <row r="26" spans="5:30" x14ac:dyDescent="0.25">
      <c r="E26" s="20">
        <v>103</v>
      </c>
      <c r="F26" s="15">
        <f t="shared" si="3"/>
        <v>2020.0999999999988</v>
      </c>
      <c r="G26" s="13">
        <f t="shared" si="4"/>
        <v>2020.2999999999986</v>
      </c>
      <c r="H26" s="16">
        <f t="shared" si="5"/>
        <v>43891</v>
      </c>
      <c r="I26" s="15">
        <f t="shared" si="6"/>
        <v>2019.3999999999987</v>
      </c>
      <c r="J26" s="13">
        <f t="shared" si="7"/>
        <v>2020.1999999999989</v>
      </c>
      <c r="K26" s="16">
        <f t="shared" si="8"/>
        <v>43800</v>
      </c>
      <c r="L26" s="81"/>
      <c r="V26" t="s">
        <v>5</v>
      </c>
      <c r="Z26" t="s">
        <v>142</v>
      </c>
      <c r="AA26">
        <v>89</v>
      </c>
      <c r="AB26">
        <v>1</v>
      </c>
      <c r="AC26">
        <v>27567</v>
      </c>
      <c r="AD26" t="e">
        <v>#N/A</v>
      </c>
    </row>
    <row r="27" spans="5:30" x14ac:dyDescent="0.25">
      <c r="E27" s="20">
        <v>104</v>
      </c>
      <c r="F27" s="15">
        <f t="shared" si="3"/>
        <v>2020.1999999999987</v>
      </c>
      <c r="G27" s="13">
        <f t="shared" si="4"/>
        <v>2020.3999999999985</v>
      </c>
      <c r="H27" s="16">
        <f t="shared" si="5"/>
        <v>43983</v>
      </c>
      <c r="I27" s="15">
        <f t="shared" si="6"/>
        <v>2020.0999999999988</v>
      </c>
      <c r="J27" s="13">
        <f t="shared" si="7"/>
        <v>2020.2999999999988</v>
      </c>
      <c r="K27" s="16">
        <f t="shared" si="8"/>
        <v>43891</v>
      </c>
      <c r="L27" s="81"/>
      <c r="V27" t="s">
        <v>6</v>
      </c>
      <c r="Z27" t="s">
        <v>143</v>
      </c>
      <c r="AA27">
        <v>90</v>
      </c>
      <c r="AB27">
        <v>2</v>
      </c>
      <c r="AC27">
        <v>36084</v>
      </c>
      <c r="AD27">
        <v>37927</v>
      </c>
    </row>
    <row r="28" spans="5:30" x14ac:dyDescent="0.25">
      <c r="E28" s="20">
        <v>105</v>
      </c>
      <c r="F28" s="15">
        <f t="shared" si="3"/>
        <v>2020.2999999999986</v>
      </c>
      <c r="G28" s="13">
        <f t="shared" si="4"/>
        <v>2021.0999999999985</v>
      </c>
      <c r="H28" s="16">
        <f t="shared" si="5"/>
        <v>44075</v>
      </c>
      <c r="I28" s="15">
        <f t="shared" si="6"/>
        <v>2020.1999999999987</v>
      </c>
      <c r="J28" s="13">
        <f t="shared" si="7"/>
        <v>2020.3999999999987</v>
      </c>
      <c r="K28" s="16">
        <f t="shared" si="8"/>
        <v>43983</v>
      </c>
      <c r="L28" s="81"/>
      <c r="V28" t="s">
        <v>9</v>
      </c>
      <c r="Z28" t="s">
        <v>0</v>
      </c>
      <c r="AA28">
        <v>91</v>
      </c>
      <c r="AB28">
        <v>3</v>
      </c>
      <c r="AC28">
        <v>37140</v>
      </c>
      <c r="AD28">
        <v>37479</v>
      </c>
    </row>
    <row r="29" spans="5:30" x14ac:dyDescent="0.25">
      <c r="E29" s="20">
        <v>106</v>
      </c>
      <c r="F29" s="15">
        <f t="shared" si="3"/>
        <v>2020.3999999999985</v>
      </c>
      <c r="G29" s="13">
        <f t="shared" si="4"/>
        <v>2021.1999999999985</v>
      </c>
      <c r="H29" s="16">
        <f t="shared" si="5"/>
        <v>44166</v>
      </c>
      <c r="I29" s="15">
        <f t="shared" si="6"/>
        <v>2020.2999999999986</v>
      </c>
      <c r="J29" s="13">
        <f t="shared" si="7"/>
        <v>2021.0999999999988</v>
      </c>
      <c r="K29" s="16">
        <f t="shared" si="8"/>
        <v>44075</v>
      </c>
      <c r="L29" s="81"/>
      <c r="V29" t="s">
        <v>7</v>
      </c>
      <c r="Z29" t="s">
        <v>144</v>
      </c>
      <c r="AA29">
        <v>92</v>
      </c>
      <c r="AB29">
        <v>4</v>
      </c>
      <c r="AC29">
        <v>37384</v>
      </c>
      <c r="AD29">
        <v>37493</v>
      </c>
    </row>
    <row r="30" spans="5:30" x14ac:dyDescent="0.25">
      <c r="E30" s="20">
        <v>107</v>
      </c>
      <c r="F30" s="15">
        <f t="shared" si="3"/>
        <v>2021.0999999999985</v>
      </c>
      <c r="G30" s="13">
        <f t="shared" si="4"/>
        <v>2021.2999999999984</v>
      </c>
      <c r="H30" s="16">
        <f t="shared" si="5"/>
        <v>44256</v>
      </c>
      <c r="I30" s="15">
        <f t="shared" si="6"/>
        <v>2020.3999999999985</v>
      </c>
      <c r="J30" s="13">
        <f t="shared" si="7"/>
        <v>2021.1999999999987</v>
      </c>
      <c r="K30" s="16">
        <f t="shared" si="8"/>
        <v>44166</v>
      </c>
      <c r="L30" s="81"/>
      <c r="V30" t="s">
        <v>4</v>
      </c>
      <c r="Z30" t="s">
        <v>24</v>
      </c>
      <c r="AA30">
        <v>93</v>
      </c>
      <c r="AB30">
        <v>5</v>
      </c>
      <c r="AC30">
        <v>37471</v>
      </c>
      <c r="AD30">
        <v>37471</v>
      </c>
    </row>
    <row r="31" spans="5:30" x14ac:dyDescent="0.25">
      <c r="E31" s="20">
        <v>108</v>
      </c>
      <c r="F31" s="15">
        <f t="shared" si="3"/>
        <v>2021.1999999999985</v>
      </c>
      <c r="G31" s="13">
        <f t="shared" si="4"/>
        <v>2021.3999999999983</v>
      </c>
      <c r="H31" s="16">
        <f t="shared" si="5"/>
        <v>44348</v>
      </c>
      <c r="I31" s="15">
        <f t="shared" si="6"/>
        <v>2021.0999999999985</v>
      </c>
      <c r="J31" s="13">
        <f t="shared" si="7"/>
        <v>2021.2999999999986</v>
      </c>
      <c r="K31" s="16">
        <f t="shared" si="8"/>
        <v>44256</v>
      </c>
      <c r="L31" s="81"/>
      <c r="V31" t="s">
        <v>2</v>
      </c>
    </row>
    <row r="32" spans="5:30" x14ac:dyDescent="0.25">
      <c r="E32" s="20">
        <v>109</v>
      </c>
      <c r="F32" s="15">
        <f t="shared" si="3"/>
        <v>2021.2999999999984</v>
      </c>
      <c r="G32" s="13">
        <f t="shared" si="4"/>
        <v>2022.0999999999983</v>
      </c>
      <c r="H32" s="16">
        <f t="shared" si="5"/>
        <v>44440</v>
      </c>
      <c r="I32" s="15">
        <f t="shared" si="6"/>
        <v>2021.1999999999985</v>
      </c>
      <c r="J32" s="13">
        <f t="shared" si="7"/>
        <v>2021.3999999999985</v>
      </c>
      <c r="K32" s="16">
        <f t="shared" si="8"/>
        <v>44348</v>
      </c>
      <c r="L32" s="81"/>
      <c r="V32" t="s">
        <v>1</v>
      </c>
    </row>
    <row r="33" spans="5:12" x14ac:dyDescent="0.25">
      <c r="E33" s="20">
        <v>110</v>
      </c>
      <c r="F33" s="13">
        <f t="shared" si="3"/>
        <v>2021.3999999999983</v>
      </c>
      <c r="G33" s="13">
        <f t="shared" si="4"/>
        <v>2022.1999999999982</v>
      </c>
      <c r="H33" s="16">
        <f t="shared" si="5"/>
        <v>44531</v>
      </c>
      <c r="I33" s="13">
        <f t="shared" si="6"/>
        <v>2021.2999999999984</v>
      </c>
      <c r="J33" s="13">
        <f t="shared" si="7"/>
        <v>2022.0999999999985</v>
      </c>
      <c r="K33" s="16">
        <f t="shared" si="8"/>
        <v>44440</v>
      </c>
      <c r="L33" s="81"/>
    </row>
    <row r="34" spans="5:12" x14ac:dyDescent="0.25">
      <c r="E34" s="20">
        <v>111</v>
      </c>
      <c r="F34" s="13">
        <f t="shared" si="3"/>
        <v>2022.0999999999983</v>
      </c>
      <c r="G34" s="13">
        <f t="shared" si="4"/>
        <v>2022.2999999999981</v>
      </c>
      <c r="H34" s="16">
        <f t="shared" ref="H34:H50" si="11">DATE(LEFT(F34,4),RIGHT(F34,1)*3,1)</f>
        <v>44621</v>
      </c>
      <c r="I34" s="13">
        <f t="shared" si="6"/>
        <v>2021.3999999999983</v>
      </c>
      <c r="J34" s="13">
        <f t="shared" si="7"/>
        <v>2022.1999999999985</v>
      </c>
      <c r="K34" s="16">
        <f t="shared" ref="K34:K50" si="12">DATE(LEFT(I34,4),RIGHT(I34,1)*3,1)</f>
        <v>44531</v>
      </c>
    </row>
    <row r="35" spans="5:12" x14ac:dyDescent="0.25">
      <c r="E35" s="20">
        <v>112</v>
      </c>
      <c r="F35" s="13">
        <f t="shared" si="3"/>
        <v>2022.1999999999982</v>
      </c>
      <c r="G35" s="13">
        <f t="shared" si="4"/>
        <v>2022.399999999998</v>
      </c>
      <c r="H35" s="16">
        <f t="shared" si="11"/>
        <v>44713</v>
      </c>
      <c r="I35" s="13">
        <f t="shared" si="6"/>
        <v>2022.0999999999983</v>
      </c>
      <c r="J35" s="13">
        <f t="shared" si="7"/>
        <v>2022.2999999999984</v>
      </c>
      <c r="K35" s="16">
        <f t="shared" si="12"/>
        <v>44621</v>
      </c>
    </row>
    <row r="36" spans="5:12" x14ac:dyDescent="0.25">
      <c r="E36" s="20">
        <v>113</v>
      </c>
      <c r="F36" s="13">
        <f t="shared" si="3"/>
        <v>2022.2999999999981</v>
      </c>
      <c r="G36" s="13">
        <f t="shared" si="4"/>
        <v>2023.0999999999981</v>
      </c>
      <c r="H36" s="16">
        <f t="shared" si="11"/>
        <v>44805</v>
      </c>
      <c r="I36" s="13">
        <f t="shared" si="6"/>
        <v>2022.1999999999982</v>
      </c>
      <c r="J36" s="13">
        <f t="shared" si="7"/>
        <v>2022.3999999999983</v>
      </c>
      <c r="K36" s="16">
        <f t="shared" si="12"/>
        <v>44713</v>
      </c>
    </row>
    <row r="37" spans="5:12" x14ac:dyDescent="0.25">
      <c r="E37" s="20">
        <v>114</v>
      </c>
      <c r="F37" s="13">
        <f t="shared" si="3"/>
        <v>2022.399999999998</v>
      </c>
      <c r="G37" s="13">
        <f t="shared" si="4"/>
        <v>2023.199999999998</v>
      </c>
      <c r="H37" s="16">
        <f t="shared" si="11"/>
        <v>44896</v>
      </c>
      <c r="I37" s="13">
        <f t="shared" si="6"/>
        <v>2022.2999999999981</v>
      </c>
      <c r="J37" s="13">
        <f t="shared" si="7"/>
        <v>2023.0999999999983</v>
      </c>
      <c r="K37" s="16">
        <f t="shared" si="12"/>
        <v>44805</v>
      </c>
    </row>
    <row r="38" spans="5:12" x14ac:dyDescent="0.25">
      <c r="E38" s="20">
        <v>115</v>
      </c>
      <c r="F38" s="13">
        <f t="shared" si="3"/>
        <v>2023.0999999999981</v>
      </c>
      <c r="G38" s="13">
        <f t="shared" si="4"/>
        <v>2023.2999999999979</v>
      </c>
      <c r="H38" s="16">
        <f t="shared" si="11"/>
        <v>44986</v>
      </c>
      <c r="I38" s="13">
        <f t="shared" si="6"/>
        <v>2022.399999999998</v>
      </c>
      <c r="J38" s="13">
        <f t="shared" si="7"/>
        <v>2023.1999999999982</v>
      </c>
      <c r="K38" s="16">
        <f t="shared" si="12"/>
        <v>44896</v>
      </c>
    </row>
    <row r="39" spans="5:12" x14ac:dyDescent="0.25">
      <c r="E39" s="20">
        <v>116</v>
      </c>
      <c r="F39" s="13">
        <f t="shared" si="3"/>
        <v>2023.199999999998</v>
      </c>
      <c r="G39" s="13">
        <f t="shared" si="4"/>
        <v>2023.3999999999978</v>
      </c>
      <c r="H39" s="16">
        <f t="shared" si="11"/>
        <v>45078</v>
      </c>
      <c r="I39" s="13">
        <f t="shared" si="6"/>
        <v>2023.0999999999981</v>
      </c>
      <c r="J39" s="13">
        <f t="shared" si="7"/>
        <v>2023.2999999999981</v>
      </c>
      <c r="K39" s="16">
        <f t="shared" si="12"/>
        <v>44986</v>
      </c>
    </row>
    <row r="40" spans="5:12" x14ac:dyDescent="0.25">
      <c r="E40" s="20">
        <v>117</v>
      </c>
      <c r="F40" s="13">
        <f t="shared" si="3"/>
        <v>2023.2999999999979</v>
      </c>
      <c r="G40" s="13">
        <f t="shared" si="4"/>
        <v>2024.0999999999979</v>
      </c>
      <c r="H40" s="16">
        <f t="shared" si="11"/>
        <v>45170</v>
      </c>
      <c r="I40" s="13">
        <f t="shared" si="6"/>
        <v>2023.199999999998</v>
      </c>
      <c r="J40" s="13">
        <f t="shared" si="7"/>
        <v>2023.399999999998</v>
      </c>
      <c r="K40" s="16">
        <f t="shared" si="12"/>
        <v>45078</v>
      </c>
    </row>
    <row r="41" spans="5:12" x14ac:dyDescent="0.25">
      <c r="E41" s="20">
        <v>118</v>
      </c>
      <c r="F41" s="13">
        <f t="shared" si="3"/>
        <v>2023.3999999999978</v>
      </c>
      <c r="G41" s="13">
        <f t="shared" si="4"/>
        <v>2024.1999999999978</v>
      </c>
      <c r="H41" s="16">
        <f t="shared" si="11"/>
        <v>45261</v>
      </c>
      <c r="I41" s="13">
        <f t="shared" si="6"/>
        <v>2023.2999999999979</v>
      </c>
      <c r="J41" s="13">
        <f t="shared" si="7"/>
        <v>2024.0999999999981</v>
      </c>
      <c r="K41" s="16">
        <f t="shared" si="12"/>
        <v>45170</v>
      </c>
    </row>
    <row r="42" spans="5:12" x14ac:dyDescent="0.25">
      <c r="E42" s="20">
        <v>119</v>
      </c>
      <c r="F42" s="13">
        <f t="shared" si="3"/>
        <v>2024.0999999999979</v>
      </c>
      <c r="G42" s="13">
        <f t="shared" si="4"/>
        <v>2024.2999999999977</v>
      </c>
      <c r="H42" s="16">
        <f t="shared" si="11"/>
        <v>45352</v>
      </c>
      <c r="I42" s="13">
        <f t="shared" si="6"/>
        <v>2023.3999999999978</v>
      </c>
      <c r="J42" s="13">
        <f t="shared" si="7"/>
        <v>2024.199999999998</v>
      </c>
      <c r="K42" s="16">
        <f t="shared" si="12"/>
        <v>45261</v>
      </c>
    </row>
    <row r="43" spans="5:12" x14ac:dyDescent="0.25">
      <c r="E43" s="20">
        <v>120</v>
      </c>
      <c r="F43" s="13">
        <f t="shared" si="3"/>
        <v>2024.1999999999978</v>
      </c>
      <c r="G43" s="13">
        <f t="shared" si="4"/>
        <v>2024.3999999999976</v>
      </c>
      <c r="H43" s="16">
        <f t="shared" si="11"/>
        <v>45444</v>
      </c>
      <c r="I43" s="13">
        <f t="shared" si="6"/>
        <v>2024.0999999999979</v>
      </c>
      <c r="J43" s="13">
        <f t="shared" si="7"/>
        <v>2024.2999999999979</v>
      </c>
      <c r="K43" s="16">
        <f t="shared" si="12"/>
        <v>45352</v>
      </c>
    </row>
    <row r="44" spans="5:12" x14ac:dyDescent="0.25">
      <c r="E44" s="20">
        <v>121</v>
      </c>
      <c r="F44" s="13">
        <f t="shared" si="3"/>
        <v>2024.2999999999977</v>
      </c>
      <c r="G44" s="13">
        <f t="shared" si="4"/>
        <v>2025.0999999999976</v>
      </c>
      <c r="H44" s="16">
        <f t="shared" si="11"/>
        <v>45536</v>
      </c>
      <c r="I44" s="13">
        <f t="shared" si="6"/>
        <v>2024.1999999999978</v>
      </c>
      <c r="J44" s="13">
        <f t="shared" si="7"/>
        <v>2024.3999999999978</v>
      </c>
      <c r="K44" s="16">
        <f t="shared" si="12"/>
        <v>45444</v>
      </c>
    </row>
    <row r="45" spans="5:12" x14ac:dyDescent="0.25">
      <c r="E45" s="20">
        <v>122</v>
      </c>
      <c r="F45" s="13">
        <f t="shared" si="3"/>
        <v>2024.3999999999976</v>
      </c>
      <c r="G45" s="13">
        <f t="shared" si="4"/>
        <v>2025.1999999999975</v>
      </c>
      <c r="H45" s="16">
        <f t="shared" si="11"/>
        <v>45627</v>
      </c>
      <c r="I45" s="13">
        <f t="shared" si="6"/>
        <v>2024.2999999999977</v>
      </c>
      <c r="J45" s="13">
        <f t="shared" si="7"/>
        <v>2025.0999999999979</v>
      </c>
      <c r="K45" s="16">
        <f t="shared" si="12"/>
        <v>45536</v>
      </c>
    </row>
    <row r="46" spans="5:12" x14ac:dyDescent="0.25">
      <c r="E46" s="20">
        <v>123</v>
      </c>
      <c r="F46" s="13">
        <f t="shared" si="3"/>
        <v>2025.0999999999976</v>
      </c>
      <c r="G46" s="13">
        <f t="shared" si="4"/>
        <v>2025.2999999999975</v>
      </c>
      <c r="H46" s="16">
        <f t="shared" si="11"/>
        <v>45717</v>
      </c>
      <c r="I46" s="13">
        <f t="shared" si="6"/>
        <v>2024.3999999999976</v>
      </c>
      <c r="J46" s="13">
        <f t="shared" si="7"/>
        <v>2025.1999999999978</v>
      </c>
      <c r="K46" s="16">
        <f t="shared" si="12"/>
        <v>45627</v>
      </c>
    </row>
    <row r="47" spans="5:12" x14ac:dyDescent="0.25">
      <c r="E47" s="20">
        <v>124</v>
      </c>
      <c r="F47" s="13">
        <f t="shared" si="3"/>
        <v>2025.1999999999975</v>
      </c>
      <c r="G47" s="13">
        <f t="shared" si="4"/>
        <v>2025.3999999999974</v>
      </c>
      <c r="H47" s="16">
        <f t="shared" si="11"/>
        <v>45809</v>
      </c>
      <c r="I47" s="13">
        <f t="shared" si="6"/>
        <v>2025.0999999999976</v>
      </c>
      <c r="J47" s="13">
        <f t="shared" si="7"/>
        <v>2025.2999999999977</v>
      </c>
      <c r="K47" s="16">
        <f t="shared" si="12"/>
        <v>45717</v>
      </c>
    </row>
    <row r="48" spans="5:12" x14ac:dyDescent="0.25">
      <c r="E48" s="20">
        <v>125</v>
      </c>
      <c r="F48" s="13">
        <f t="shared" si="3"/>
        <v>2025.2999999999975</v>
      </c>
      <c r="G48" s="13">
        <f t="shared" si="4"/>
        <v>2026.0999999999974</v>
      </c>
      <c r="H48" s="16">
        <f t="shared" si="11"/>
        <v>45901</v>
      </c>
      <c r="I48" s="13">
        <f t="shared" si="6"/>
        <v>2025.1999999999975</v>
      </c>
      <c r="J48" s="13">
        <f t="shared" si="7"/>
        <v>2025.3999999999976</v>
      </c>
      <c r="K48" s="16">
        <f t="shared" si="12"/>
        <v>45809</v>
      </c>
    </row>
    <row r="49" spans="5:11" x14ac:dyDescent="0.25">
      <c r="E49" s="20">
        <v>126</v>
      </c>
      <c r="F49" s="13">
        <f t="shared" si="3"/>
        <v>2025.3999999999974</v>
      </c>
      <c r="G49" s="13">
        <f t="shared" si="4"/>
        <v>2026.1999999999973</v>
      </c>
      <c r="H49" s="16">
        <f t="shared" si="11"/>
        <v>45992</v>
      </c>
      <c r="I49" s="13">
        <f t="shared" si="6"/>
        <v>2025.2999999999975</v>
      </c>
      <c r="J49" s="13">
        <f t="shared" si="7"/>
        <v>2026.0999999999976</v>
      </c>
      <c r="K49" s="16">
        <f t="shared" si="12"/>
        <v>45901</v>
      </c>
    </row>
    <row r="50" spans="5:11" x14ac:dyDescent="0.25">
      <c r="E50" s="20">
        <v>127</v>
      </c>
      <c r="F50" s="13">
        <f t="shared" si="3"/>
        <v>2026.0999999999974</v>
      </c>
      <c r="G50" s="13">
        <f t="shared" si="4"/>
        <v>2026.2999999999972</v>
      </c>
      <c r="H50" s="16">
        <f t="shared" si="11"/>
        <v>46082</v>
      </c>
      <c r="I50" s="13">
        <f t="shared" si="6"/>
        <v>2025.3999999999974</v>
      </c>
      <c r="J50" s="13">
        <f t="shared" si="7"/>
        <v>2026.1999999999975</v>
      </c>
      <c r="K50" s="16">
        <f t="shared" si="12"/>
        <v>45992</v>
      </c>
    </row>
    <row r="51" spans="5:11" x14ac:dyDescent="0.25">
      <c r="E51" s="20">
        <v>128</v>
      </c>
      <c r="F51" s="13">
        <f t="shared" si="3"/>
        <v>2026.1999999999973</v>
      </c>
      <c r="G51" s="13">
        <f t="shared" si="4"/>
        <v>2026.3999999999971</v>
      </c>
      <c r="H51" s="16">
        <f t="shared" ref="H51:H73" si="13">DATE(LEFT(F51,4),RIGHT(F51,1)*3,1)</f>
        <v>46174</v>
      </c>
      <c r="I51" s="13">
        <f t="shared" si="6"/>
        <v>2026.0999999999974</v>
      </c>
      <c r="J51" s="13">
        <f t="shared" si="7"/>
        <v>2026.2999999999975</v>
      </c>
      <c r="K51" s="16">
        <f t="shared" ref="K51:K73" si="14">DATE(LEFT(I51,4),RIGHT(I51,1)*3,1)</f>
        <v>46082</v>
      </c>
    </row>
    <row r="52" spans="5:11" x14ac:dyDescent="0.25">
      <c r="E52" s="20">
        <v>129</v>
      </c>
      <c r="F52" s="13">
        <f t="shared" si="3"/>
        <v>2026.2999999999972</v>
      </c>
      <c r="G52" s="13">
        <f t="shared" si="4"/>
        <v>2027.0999999999972</v>
      </c>
      <c r="H52" s="16">
        <f t="shared" si="13"/>
        <v>46266</v>
      </c>
      <c r="I52" s="13">
        <f t="shared" si="6"/>
        <v>2026.1999999999973</v>
      </c>
      <c r="J52" s="13">
        <f t="shared" si="7"/>
        <v>2026.3999999999974</v>
      </c>
      <c r="K52" s="16">
        <f t="shared" si="14"/>
        <v>46174</v>
      </c>
    </row>
    <row r="53" spans="5:11" x14ac:dyDescent="0.25">
      <c r="E53" s="20">
        <v>130</v>
      </c>
      <c r="F53" s="13">
        <f t="shared" si="3"/>
        <v>2026.3999999999971</v>
      </c>
      <c r="G53" s="13">
        <f t="shared" si="4"/>
        <v>2027.1999999999971</v>
      </c>
      <c r="H53" s="16">
        <f t="shared" si="13"/>
        <v>46357</v>
      </c>
      <c r="I53" s="13">
        <f t="shared" si="6"/>
        <v>2026.2999999999972</v>
      </c>
      <c r="J53" s="13">
        <f t="shared" si="7"/>
        <v>2027.0999999999974</v>
      </c>
      <c r="K53" s="16">
        <f t="shared" si="14"/>
        <v>46266</v>
      </c>
    </row>
    <row r="54" spans="5:11" x14ac:dyDescent="0.25">
      <c r="E54" s="20">
        <v>131</v>
      </c>
      <c r="F54" s="13">
        <f t="shared" si="3"/>
        <v>2027.0999999999972</v>
      </c>
      <c r="G54" s="13">
        <f t="shared" si="4"/>
        <v>2027.299999999997</v>
      </c>
      <c r="H54" s="16">
        <f t="shared" si="13"/>
        <v>46447</v>
      </c>
      <c r="I54" s="13">
        <f t="shared" si="6"/>
        <v>2026.3999999999971</v>
      </c>
      <c r="J54" s="13">
        <f t="shared" si="7"/>
        <v>2027.1999999999973</v>
      </c>
      <c r="K54" s="16">
        <f t="shared" si="14"/>
        <v>46357</v>
      </c>
    </row>
    <row r="55" spans="5:11" x14ac:dyDescent="0.25">
      <c r="E55" s="20">
        <v>132</v>
      </c>
      <c r="F55" s="13">
        <f t="shared" si="3"/>
        <v>2027.1999999999971</v>
      </c>
      <c r="G55" s="13">
        <f t="shared" si="4"/>
        <v>2027.3999999999969</v>
      </c>
      <c r="H55" s="16">
        <f t="shared" si="13"/>
        <v>46539</v>
      </c>
      <c r="I55" s="13">
        <f t="shared" si="6"/>
        <v>2027.0999999999972</v>
      </c>
      <c r="J55" s="13">
        <f t="shared" si="7"/>
        <v>2027.2999999999972</v>
      </c>
      <c r="K55" s="16">
        <f t="shared" si="14"/>
        <v>46447</v>
      </c>
    </row>
    <row r="56" spans="5:11" x14ac:dyDescent="0.25">
      <c r="E56" s="20">
        <v>133</v>
      </c>
      <c r="F56" s="13">
        <f t="shared" si="3"/>
        <v>2027.299999999997</v>
      </c>
      <c r="G56" s="13">
        <f t="shared" si="4"/>
        <v>2028.099999999997</v>
      </c>
      <c r="H56" s="16">
        <f t="shared" si="13"/>
        <v>46631</v>
      </c>
      <c r="I56" s="13">
        <f t="shared" si="6"/>
        <v>2027.1999999999971</v>
      </c>
      <c r="J56" s="13">
        <f t="shared" si="7"/>
        <v>2027.3999999999971</v>
      </c>
      <c r="K56" s="16">
        <f t="shared" si="14"/>
        <v>46539</v>
      </c>
    </row>
    <row r="57" spans="5:11" x14ac:dyDescent="0.25">
      <c r="E57" s="20">
        <v>134</v>
      </c>
      <c r="F57" s="13">
        <f t="shared" si="3"/>
        <v>2027.3999999999969</v>
      </c>
      <c r="G57" s="13">
        <f t="shared" si="4"/>
        <v>2028.1999999999969</v>
      </c>
      <c r="H57" s="16">
        <f t="shared" si="13"/>
        <v>46722</v>
      </c>
      <c r="I57" s="13">
        <f t="shared" si="6"/>
        <v>2027.299999999997</v>
      </c>
      <c r="J57" s="13">
        <f t="shared" si="7"/>
        <v>2028.0999999999972</v>
      </c>
      <c r="K57" s="16">
        <f t="shared" si="14"/>
        <v>46631</v>
      </c>
    </row>
    <row r="58" spans="5:11" x14ac:dyDescent="0.25">
      <c r="E58" s="20">
        <v>135</v>
      </c>
      <c r="F58" s="13">
        <f t="shared" si="3"/>
        <v>2028.099999999997</v>
      </c>
      <c r="G58" s="13">
        <f t="shared" si="4"/>
        <v>2028.2999999999968</v>
      </c>
      <c r="H58" s="16">
        <f t="shared" si="13"/>
        <v>46813</v>
      </c>
      <c r="I58" s="13">
        <f t="shared" si="6"/>
        <v>2027.3999999999969</v>
      </c>
      <c r="J58" s="13">
        <f t="shared" si="7"/>
        <v>2028.1999999999971</v>
      </c>
      <c r="K58" s="16">
        <f t="shared" si="14"/>
        <v>46722</v>
      </c>
    </row>
    <row r="59" spans="5:11" x14ac:dyDescent="0.25">
      <c r="E59" s="20">
        <v>136</v>
      </c>
      <c r="F59" s="13">
        <f t="shared" si="3"/>
        <v>2028.1999999999969</v>
      </c>
      <c r="G59" s="13">
        <f t="shared" si="4"/>
        <v>2028.3999999999967</v>
      </c>
      <c r="H59" s="16">
        <f t="shared" si="13"/>
        <v>46905</v>
      </c>
      <c r="I59" s="13">
        <f t="shared" si="6"/>
        <v>2028.099999999997</v>
      </c>
      <c r="J59" s="13">
        <f t="shared" si="7"/>
        <v>2028.299999999997</v>
      </c>
      <c r="K59" s="16">
        <f t="shared" si="14"/>
        <v>46813</v>
      </c>
    </row>
    <row r="60" spans="5:11" x14ac:dyDescent="0.25">
      <c r="E60" s="20">
        <v>137</v>
      </c>
      <c r="F60" s="13">
        <f t="shared" si="3"/>
        <v>2028.2999999999968</v>
      </c>
      <c r="G60" s="13">
        <f t="shared" si="4"/>
        <v>2029.0999999999967</v>
      </c>
      <c r="H60" s="16">
        <f t="shared" si="13"/>
        <v>46997</v>
      </c>
      <c r="I60" s="13">
        <f t="shared" si="6"/>
        <v>2028.1999999999969</v>
      </c>
      <c r="J60" s="13">
        <f t="shared" si="7"/>
        <v>2028.3999999999969</v>
      </c>
      <c r="K60" s="16">
        <f t="shared" si="14"/>
        <v>46905</v>
      </c>
    </row>
    <row r="61" spans="5:11" x14ac:dyDescent="0.25">
      <c r="E61" s="20">
        <v>138</v>
      </c>
      <c r="F61" s="13">
        <f t="shared" si="3"/>
        <v>2028.3999999999967</v>
      </c>
      <c r="G61" s="13">
        <f t="shared" si="4"/>
        <v>2029.1999999999966</v>
      </c>
      <c r="H61" s="16">
        <f t="shared" si="13"/>
        <v>47088</v>
      </c>
      <c r="I61" s="13">
        <f t="shared" si="6"/>
        <v>2028.2999999999968</v>
      </c>
      <c r="J61" s="13">
        <f t="shared" si="7"/>
        <v>2029.099999999997</v>
      </c>
      <c r="K61" s="16">
        <f t="shared" si="14"/>
        <v>46997</v>
      </c>
    </row>
    <row r="62" spans="5:11" x14ac:dyDescent="0.25">
      <c r="E62" s="20">
        <v>139</v>
      </c>
      <c r="F62" s="13">
        <f t="shared" si="3"/>
        <v>2029.0999999999967</v>
      </c>
      <c r="G62" s="13">
        <f t="shared" si="4"/>
        <v>2029.2999999999965</v>
      </c>
      <c r="H62" s="16">
        <f t="shared" si="13"/>
        <v>47178</v>
      </c>
      <c r="I62" s="13">
        <f t="shared" si="6"/>
        <v>2028.3999999999967</v>
      </c>
      <c r="J62" s="13">
        <f t="shared" si="7"/>
        <v>2029.1999999999969</v>
      </c>
      <c r="K62" s="16">
        <f t="shared" si="14"/>
        <v>47088</v>
      </c>
    </row>
    <row r="63" spans="5:11" x14ac:dyDescent="0.25">
      <c r="E63" s="20">
        <v>140</v>
      </c>
      <c r="F63" s="13">
        <f t="shared" si="3"/>
        <v>2029.1999999999966</v>
      </c>
      <c r="G63" s="13">
        <f t="shared" si="4"/>
        <v>2029.3999999999965</v>
      </c>
      <c r="H63" s="16">
        <f t="shared" si="13"/>
        <v>47270</v>
      </c>
      <c r="I63" s="13">
        <f t="shared" si="6"/>
        <v>2029.0999999999967</v>
      </c>
      <c r="J63" s="13">
        <f t="shared" si="7"/>
        <v>2029.2999999999968</v>
      </c>
      <c r="K63" s="16">
        <f t="shared" si="14"/>
        <v>47178</v>
      </c>
    </row>
    <row r="64" spans="5:11" x14ac:dyDescent="0.25">
      <c r="E64" s="20">
        <v>141</v>
      </c>
      <c r="F64" s="13">
        <f t="shared" si="3"/>
        <v>2029.2999999999965</v>
      </c>
      <c r="G64" s="13">
        <f t="shared" si="4"/>
        <v>2030.0999999999965</v>
      </c>
      <c r="H64" s="16">
        <f t="shared" si="13"/>
        <v>47362</v>
      </c>
      <c r="I64" s="13">
        <f t="shared" si="6"/>
        <v>2029.1999999999966</v>
      </c>
      <c r="J64" s="13">
        <f t="shared" si="7"/>
        <v>2029.3999999999967</v>
      </c>
      <c r="K64" s="16">
        <f t="shared" si="14"/>
        <v>47270</v>
      </c>
    </row>
    <row r="65" spans="5:11" x14ac:dyDescent="0.25">
      <c r="E65" s="20">
        <v>142</v>
      </c>
      <c r="F65" s="13">
        <f t="shared" si="3"/>
        <v>2029.3999999999965</v>
      </c>
      <c r="G65" s="13">
        <f t="shared" si="4"/>
        <v>2030.1999999999964</v>
      </c>
      <c r="H65" s="16">
        <f t="shared" si="13"/>
        <v>47453</v>
      </c>
      <c r="I65" s="13">
        <f t="shared" si="6"/>
        <v>2029.2999999999965</v>
      </c>
      <c r="J65" s="13">
        <f t="shared" si="7"/>
        <v>2030.0999999999967</v>
      </c>
      <c r="K65" s="16">
        <f t="shared" si="14"/>
        <v>47362</v>
      </c>
    </row>
    <row r="66" spans="5:11" x14ac:dyDescent="0.25">
      <c r="E66" s="20">
        <v>143</v>
      </c>
      <c r="F66" s="13">
        <f t="shared" si="3"/>
        <v>2030.0999999999965</v>
      </c>
      <c r="G66" s="13">
        <f t="shared" si="4"/>
        <v>2030.2999999999963</v>
      </c>
      <c r="H66" s="16">
        <f t="shared" si="13"/>
        <v>47543</v>
      </c>
      <c r="I66" s="13">
        <f t="shared" si="6"/>
        <v>2029.3999999999965</v>
      </c>
      <c r="J66" s="13">
        <f t="shared" si="7"/>
        <v>2030.1999999999966</v>
      </c>
      <c r="K66" s="16">
        <f t="shared" si="14"/>
        <v>47453</v>
      </c>
    </row>
    <row r="67" spans="5:11" x14ac:dyDescent="0.25">
      <c r="E67" s="20">
        <v>144</v>
      </c>
      <c r="F67" s="13">
        <f t="shared" si="3"/>
        <v>2030.1999999999964</v>
      </c>
      <c r="G67" s="13">
        <f t="shared" si="4"/>
        <v>2030.3999999999962</v>
      </c>
      <c r="H67" s="16">
        <f t="shared" si="13"/>
        <v>47635</v>
      </c>
      <c r="I67" s="13">
        <f t="shared" si="6"/>
        <v>2030.0999999999965</v>
      </c>
      <c r="J67" s="13">
        <f t="shared" si="7"/>
        <v>2030.2999999999965</v>
      </c>
      <c r="K67" s="16">
        <f t="shared" si="14"/>
        <v>47543</v>
      </c>
    </row>
    <row r="68" spans="5:11" x14ac:dyDescent="0.25">
      <c r="E68" s="20">
        <v>145</v>
      </c>
      <c r="F68" s="13">
        <f t="shared" si="3"/>
        <v>2030.2999999999963</v>
      </c>
      <c r="G68" s="13">
        <f t="shared" si="4"/>
        <v>2031.0999999999963</v>
      </c>
      <c r="H68" s="16">
        <f t="shared" si="13"/>
        <v>47727</v>
      </c>
      <c r="I68" s="13">
        <f t="shared" si="6"/>
        <v>2030.1999999999964</v>
      </c>
      <c r="J68" s="13">
        <f t="shared" si="7"/>
        <v>2030.3999999999965</v>
      </c>
      <c r="K68" s="16">
        <f t="shared" si="14"/>
        <v>47635</v>
      </c>
    </row>
    <row r="69" spans="5:11" x14ac:dyDescent="0.25">
      <c r="E69" s="20">
        <v>146</v>
      </c>
      <c r="F69" s="13">
        <f t="shared" si="3"/>
        <v>2030.3999999999962</v>
      </c>
      <c r="G69" s="13">
        <f t="shared" si="4"/>
        <v>2031.1999999999962</v>
      </c>
      <c r="H69" s="16">
        <f t="shared" si="13"/>
        <v>47818</v>
      </c>
      <c r="I69" s="13">
        <f t="shared" si="6"/>
        <v>2030.2999999999963</v>
      </c>
      <c r="J69" s="13">
        <f t="shared" si="7"/>
        <v>2031.0999999999965</v>
      </c>
      <c r="K69" s="16">
        <f t="shared" si="14"/>
        <v>47727</v>
      </c>
    </row>
    <row r="70" spans="5:11" x14ac:dyDescent="0.25">
      <c r="E70" s="20">
        <v>147</v>
      </c>
      <c r="F70" s="13">
        <f t="shared" ref="F70:G70" si="15">IF(VALUE(RIGHT(F69,1))=4,F69+0.7,F69+0.1)</f>
        <v>2031.0999999999963</v>
      </c>
      <c r="G70" s="13">
        <f t="shared" si="15"/>
        <v>2031.2999999999961</v>
      </c>
      <c r="H70" s="16">
        <f t="shared" si="13"/>
        <v>47908</v>
      </c>
      <c r="I70" s="13">
        <f t="shared" ref="I70:J70" si="16">IF(VALUE(RIGHT(I69,1))=4,I69+0.7,I69+0.1)</f>
        <v>2030.3999999999962</v>
      </c>
      <c r="J70" s="13">
        <f t="shared" si="16"/>
        <v>2031.1999999999964</v>
      </c>
      <c r="K70" s="16">
        <f t="shared" si="14"/>
        <v>47818</v>
      </c>
    </row>
    <row r="71" spans="5:11" x14ac:dyDescent="0.25">
      <c r="E71" s="20">
        <v>148</v>
      </c>
      <c r="F71" s="13">
        <f t="shared" si="3"/>
        <v>2031.1999999999962</v>
      </c>
      <c r="G71" s="13">
        <f t="shared" si="4"/>
        <v>2031.399999999996</v>
      </c>
      <c r="H71" s="16">
        <f t="shared" si="13"/>
        <v>48000</v>
      </c>
      <c r="I71" s="13">
        <f t="shared" si="6"/>
        <v>2031.0999999999963</v>
      </c>
      <c r="J71" s="13">
        <f t="shared" si="7"/>
        <v>2031.2999999999963</v>
      </c>
      <c r="K71" s="16">
        <f t="shared" si="14"/>
        <v>47908</v>
      </c>
    </row>
    <row r="72" spans="5:11" x14ac:dyDescent="0.25">
      <c r="E72" s="20">
        <v>149</v>
      </c>
      <c r="F72" s="13">
        <f t="shared" ref="F72:G73" si="17">IF(VALUE(RIGHT(F71,1))=4,F71+0.7,F71+0.1)</f>
        <v>2031.2999999999961</v>
      </c>
      <c r="G72" s="13">
        <f t="shared" si="17"/>
        <v>2032.099999999996</v>
      </c>
      <c r="H72" s="16">
        <f t="shared" si="13"/>
        <v>48092</v>
      </c>
      <c r="I72" s="13">
        <f t="shared" ref="I72:J73" si="18">IF(VALUE(RIGHT(I71,1))=4,I71+0.7,I71+0.1)</f>
        <v>2031.1999999999962</v>
      </c>
      <c r="J72" s="13">
        <f t="shared" si="18"/>
        <v>2031.3999999999962</v>
      </c>
      <c r="K72" s="16">
        <f t="shared" si="14"/>
        <v>48000</v>
      </c>
    </row>
    <row r="73" spans="5:11" x14ac:dyDescent="0.25">
      <c r="E73" s="21">
        <v>150</v>
      </c>
      <c r="F73" s="17">
        <f t="shared" si="17"/>
        <v>2031.399999999996</v>
      </c>
      <c r="G73" s="17">
        <f t="shared" si="17"/>
        <v>2032.199999999996</v>
      </c>
      <c r="H73" s="18">
        <f t="shared" si="13"/>
        <v>48183</v>
      </c>
      <c r="I73" s="17">
        <f t="shared" si="18"/>
        <v>2031.2999999999961</v>
      </c>
      <c r="J73" s="17">
        <f t="shared" si="18"/>
        <v>2032.0999999999963</v>
      </c>
      <c r="K73" s="18">
        <f t="shared" si="14"/>
        <v>48092</v>
      </c>
    </row>
  </sheetData>
  <mergeCells count="5">
    <mergeCell ref="F1:H1"/>
    <mergeCell ref="E1:E2"/>
    <mergeCell ref="I1:K1"/>
    <mergeCell ref="V1:AG1"/>
    <mergeCell ref="M16:P17"/>
  </mergeCells>
  <pageMargins left="0.7" right="0.7" top="0.75" bottom="0.75" header="0.3" footer="0.3"/>
  <ignoredErrors>
    <ignoredError sqref="H5:H33" formula="1"/>
  </ignoredErrors>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B1:M28"/>
  <sheetViews>
    <sheetView showGridLines="0" showRowColHeaders="0" workbookViewId="0">
      <selection activeCell="B2" sqref="B2:K3"/>
    </sheetView>
  </sheetViews>
  <sheetFormatPr defaultRowHeight="15" x14ac:dyDescent="0.25"/>
  <cols>
    <col min="1" max="1" width="3.140625" customWidth="1"/>
    <col min="11" max="11" width="10.7109375" customWidth="1"/>
  </cols>
  <sheetData>
    <row r="1" spans="2:13" ht="15" customHeight="1" x14ac:dyDescent="0.25">
      <c r="B1" s="130"/>
      <c r="C1" s="130"/>
      <c r="D1" s="130"/>
      <c r="E1" s="130"/>
      <c r="F1" s="130"/>
      <c r="G1" s="130"/>
      <c r="H1" s="130"/>
      <c r="I1" s="130"/>
      <c r="J1" s="130"/>
      <c r="K1" s="130"/>
      <c r="L1" s="65"/>
      <c r="M1" s="65"/>
    </row>
    <row r="2" spans="2:13" x14ac:dyDescent="0.25">
      <c r="B2" s="241" t="s">
        <v>97</v>
      </c>
      <c r="C2" s="247"/>
      <c r="D2" s="247"/>
      <c r="E2" s="247"/>
      <c r="F2" s="247"/>
      <c r="G2" s="247"/>
      <c r="H2" s="247"/>
      <c r="I2" s="247"/>
      <c r="J2" s="247"/>
      <c r="K2" s="247"/>
      <c r="L2" s="65"/>
      <c r="M2" s="65"/>
    </row>
    <row r="3" spans="2:13" x14ac:dyDescent="0.25">
      <c r="B3" s="247"/>
      <c r="C3" s="247"/>
      <c r="D3" s="247"/>
      <c r="E3" s="247"/>
      <c r="F3" s="247"/>
      <c r="G3" s="247"/>
      <c r="H3" s="247"/>
      <c r="I3" s="247"/>
      <c r="J3" s="247"/>
      <c r="K3" s="247"/>
      <c r="L3" s="65"/>
      <c r="M3" s="65"/>
    </row>
    <row r="4" spans="2:13" ht="15" customHeight="1" x14ac:dyDescent="0.25">
      <c r="B4" s="180"/>
      <c r="C4" s="180"/>
      <c r="D4" s="180"/>
      <c r="E4" s="180"/>
      <c r="F4" s="180"/>
      <c r="G4" s="180"/>
      <c r="H4" s="180"/>
      <c r="I4" s="180"/>
      <c r="J4" s="180"/>
      <c r="K4" s="180"/>
      <c r="L4" s="65"/>
      <c r="M4" s="65"/>
    </row>
    <row r="5" spans="2:13" x14ac:dyDescent="0.25">
      <c r="B5" s="220" t="s">
        <v>176</v>
      </c>
      <c r="C5" s="130"/>
      <c r="D5" s="130"/>
      <c r="E5" s="130"/>
      <c r="F5" s="130"/>
      <c r="G5" s="130"/>
      <c r="H5" s="130"/>
      <c r="I5" s="130"/>
      <c r="J5" s="130"/>
      <c r="K5" s="130"/>
      <c r="L5" s="65"/>
      <c r="M5" s="65"/>
    </row>
    <row r="6" spans="2:13" x14ac:dyDescent="0.25">
      <c r="B6" s="130"/>
      <c r="C6" s="130"/>
      <c r="D6" s="130"/>
      <c r="E6" s="130"/>
      <c r="F6" s="130"/>
      <c r="G6" s="130"/>
      <c r="H6" s="130"/>
      <c r="I6" s="130"/>
      <c r="J6" s="130"/>
      <c r="K6" s="130"/>
      <c r="L6" s="65"/>
      <c r="M6" s="219"/>
    </row>
    <row r="7" spans="2:13" x14ac:dyDescent="0.25">
      <c r="B7" s="130"/>
      <c r="C7" s="130"/>
      <c r="D7" s="130"/>
      <c r="E7" s="130"/>
      <c r="F7" s="130"/>
      <c r="G7" s="130"/>
      <c r="H7" s="130"/>
      <c r="I7" s="130"/>
      <c r="J7" s="130"/>
      <c r="K7" s="130"/>
      <c r="L7" s="65"/>
      <c r="M7" s="65"/>
    </row>
    <row r="8" spans="2:13" x14ac:dyDescent="0.25">
      <c r="B8" s="130"/>
      <c r="C8" s="130"/>
      <c r="D8" s="130"/>
      <c r="E8" s="130"/>
      <c r="F8" s="130"/>
      <c r="G8" s="130"/>
      <c r="H8" s="130"/>
      <c r="I8" s="130"/>
      <c r="J8" s="130"/>
      <c r="K8" s="130"/>
      <c r="L8" s="65"/>
      <c r="M8" s="65"/>
    </row>
    <row r="9" spans="2:13" x14ac:dyDescent="0.25">
      <c r="B9" s="344" t="s">
        <v>177</v>
      </c>
      <c r="C9" s="345"/>
      <c r="D9" s="345"/>
      <c r="E9" s="345"/>
      <c r="F9" s="345"/>
      <c r="G9" s="345"/>
      <c r="H9" s="345"/>
      <c r="I9" s="345"/>
      <c r="J9" s="345"/>
      <c r="K9" s="345"/>
    </row>
    <row r="10" spans="2:13" x14ac:dyDescent="0.25">
      <c r="B10" s="345"/>
      <c r="C10" s="345"/>
      <c r="D10" s="345"/>
      <c r="E10" s="345"/>
      <c r="F10" s="345"/>
      <c r="G10" s="345"/>
      <c r="H10" s="345"/>
      <c r="I10" s="345"/>
      <c r="J10" s="345"/>
      <c r="K10" s="345"/>
    </row>
    <row r="11" spans="2:13" x14ac:dyDescent="0.25">
      <c r="B11" s="345"/>
      <c r="C11" s="345"/>
      <c r="D11" s="345"/>
      <c r="E11" s="345"/>
      <c r="F11" s="345"/>
      <c r="G11" s="345"/>
      <c r="H11" s="345"/>
      <c r="I11" s="345"/>
      <c r="J11" s="345"/>
      <c r="K11" s="345"/>
    </row>
    <row r="12" spans="2:13" x14ac:dyDescent="0.25">
      <c r="B12" s="345"/>
      <c r="C12" s="345"/>
      <c r="D12" s="345"/>
      <c r="E12" s="345"/>
      <c r="F12" s="345"/>
      <c r="G12" s="345"/>
      <c r="H12" s="345"/>
      <c r="I12" s="345"/>
      <c r="J12" s="345"/>
      <c r="K12" s="345"/>
    </row>
    <row r="13" spans="2:13" x14ac:dyDescent="0.25">
      <c r="B13" s="345"/>
      <c r="C13" s="345"/>
      <c r="D13" s="345"/>
      <c r="E13" s="345"/>
      <c r="F13" s="345"/>
      <c r="G13" s="345"/>
      <c r="H13" s="345"/>
      <c r="I13" s="345"/>
      <c r="J13" s="345"/>
      <c r="K13" s="345"/>
    </row>
    <row r="14" spans="2:13" x14ac:dyDescent="0.25">
      <c r="B14" s="345"/>
      <c r="C14" s="345"/>
      <c r="D14" s="345"/>
      <c r="E14" s="345"/>
      <c r="F14" s="345"/>
      <c r="G14" s="345"/>
      <c r="H14" s="345"/>
      <c r="I14" s="345"/>
      <c r="J14" s="345"/>
      <c r="K14" s="345"/>
    </row>
    <row r="15" spans="2:13" x14ac:dyDescent="0.25">
      <c r="B15" s="345"/>
      <c r="C15" s="345"/>
      <c r="D15" s="345"/>
      <c r="E15" s="345"/>
      <c r="F15" s="345"/>
      <c r="G15" s="345"/>
      <c r="H15" s="345"/>
      <c r="I15" s="345"/>
      <c r="J15" s="345"/>
      <c r="K15" s="345"/>
    </row>
    <row r="16" spans="2:13" x14ac:dyDescent="0.25">
      <c r="B16" s="345"/>
      <c r="C16" s="345"/>
      <c r="D16" s="345"/>
      <c r="E16" s="345"/>
      <c r="F16" s="345"/>
      <c r="G16" s="345"/>
      <c r="H16" s="345"/>
      <c r="I16" s="345"/>
      <c r="J16" s="345"/>
      <c r="K16" s="345"/>
    </row>
    <row r="17" spans="2:13" x14ac:dyDescent="0.25">
      <c r="B17" s="345"/>
      <c r="C17" s="345"/>
      <c r="D17" s="345"/>
      <c r="E17" s="345"/>
      <c r="F17" s="345"/>
      <c r="G17" s="345"/>
      <c r="H17" s="345"/>
      <c r="I17" s="345"/>
      <c r="J17" s="345"/>
      <c r="K17" s="345"/>
    </row>
    <row r="18" spans="2:13" x14ac:dyDescent="0.25">
      <c r="B18" s="345"/>
      <c r="C18" s="345"/>
      <c r="D18" s="345"/>
      <c r="E18" s="345"/>
      <c r="F18" s="345"/>
      <c r="G18" s="345"/>
      <c r="H18" s="345"/>
      <c r="I18" s="345"/>
      <c r="J18" s="345"/>
      <c r="K18" s="345"/>
    </row>
    <row r="19" spans="2:13" x14ac:dyDescent="0.25">
      <c r="B19" s="345"/>
      <c r="C19" s="345"/>
      <c r="D19" s="345"/>
      <c r="E19" s="345"/>
      <c r="F19" s="345"/>
      <c r="G19" s="345"/>
      <c r="H19" s="345"/>
      <c r="I19" s="345"/>
      <c r="J19" s="345"/>
      <c r="K19" s="345"/>
    </row>
    <row r="20" spans="2:13" x14ac:dyDescent="0.25">
      <c r="B20" s="345"/>
      <c r="C20" s="345"/>
      <c r="D20" s="345"/>
      <c r="E20" s="345"/>
      <c r="F20" s="345"/>
      <c r="G20" s="345"/>
      <c r="H20" s="345"/>
      <c r="I20" s="345"/>
      <c r="J20" s="345"/>
      <c r="K20" s="345"/>
    </row>
    <row r="21" spans="2:13" x14ac:dyDescent="0.25">
      <c r="B21" s="345"/>
      <c r="C21" s="345"/>
      <c r="D21" s="345"/>
      <c r="E21" s="345"/>
      <c r="F21" s="345"/>
      <c r="G21" s="345"/>
      <c r="H21" s="345"/>
      <c r="I21" s="345"/>
      <c r="J21" s="345"/>
      <c r="K21" s="345"/>
    </row>
    <row r="22" spans="2:13" x14ac:dyDescent="0.25">
      <c r="B22" s="345"/>
      <c r="C22" s="345"/>
      <c r="D22" s="345"/>
      <c r="E22" s="345"/>
      <c r="F22" s="345"/>
      <c r="G22" s="345"/>
      <c r="H22" s="345"/>
      <c r="I22" s="345"/>
      <c r="J22" s="345"/>
      <c r="K22" s="345"/>
    </row>
    <row r="23" spans="2:13" x14ac:dyDescent="0.25">
      <c r="B23" s="345"/>
      <c r="C23" s="345"/>
      <c r="D23" s="345"/>
      <c r="E23" s="345"/>
      <c r="F23" s="345"/>
      <c r="G23" s="345"/>
      <c r="H23" s="345"/>
      <c r="I23" s="345"/>
      <c r="J23" s="345"/>
      <c r="K23" s="345"/>
    </row>
    <row r="24" spans="2:13" x14ac:dyDescent="0.25">
      <c r="B24" s="345"/>
      <c r="C24" s="345"/>
      <c r="D24" s="345"/>
      <c r="E24" s="345"/>
      <c r="F24" s="345"/>
      <c r="G24" s="345"/>
      <c r="H24" s="345"/>
      <c r="I24" s="345"/>
      <c r="J24" s="345"/>
      <c r="K24" s="345"/>
    </row>
    <row r="25" spans="2:13" x14ac:dyDescent="0.25">
      <c r="B25" s="345"/>
      <c r="C25" s="345"/>
      <c r="D25" s="345"/>
      <c r="E25" s="345"/>
      <c r="F25" s="345"/>
      <c r="G25" s="345"/>
      <c r="H25" s="345"/>
      <c r="I25" s="345"/>
      <c r="J25" s="345"/>
      <c r="K25" s="345"/>
    </row>
    <row r="26" spans="2:13" x14ac:dyDescent="0.25">
      <c r="B26" s="345"/>
      <c r="C26" s="345"/>
      <c r="D26" s="345"/>
      <c r="E26" s="345"/>
      <c r="F26" s="345"/>
      <c r="G26" s="345"/>
      <c r="H26" s="345"/>
      <c r="I26" s="345"/>
      <c r="J26" s="345"/>
      <c r="K26" s="345"/>
    </row>
    <row r="27" spans="2:13" x14ac:dyDescent="0.25">
      <c r="B27" s="345"/>
      <c r="C27" s="345"/>
      <c r="D27" s="345"/>
      <c r="E27" s="345"/>
      <c r="F27" s="345"/>
      <c r="G27" s="345"/>
      <c r="H27" s="345"/>
      <c r="I27" s="345"/>
      <c r="J27" s="345"/>
      <c r="K27" s="345"/>
      <c r="L27" s="65"/>
      <c r="M27" s="65"/>
    </row>
    <row r="28" spans="2:13" x14ac:dyDescent="0.25">
      <c r="B28" s="345"/>
      <c r="C28" s="345"/>
      <c r="D28" s="345"/>
      <c r="E28" s="345"/>
      <c r="F28" s="345"/>
      <c r="G28" s="345"/>
      <c r="H28" s="345"/>
      <c r="I28" s="345"/>
      <c r="J28" s="345"/>
      <c r="K28" s="345"/>
      <c r="L28" s="65"/>
    </row>
  </sheetData>
  <sheetProtection algorithmName="SHA-512" hashValue="wKFOjeiAS5gEtIvl3WKz+erohbbfqpppmxUEY+qdqQrzpT5t1iF3l7Bvoq5AAkWrY+WwGb2hR2DQr0awtb/bBw==" saltValue="sOjdaMeDPu2TfVNk8Ax38A==" spinCount="100000" sheet="1" selectLockedCells="1" selectUnlockedCells="1"/>
  <mergeCells count="2">
    <mergeCell ref="B9:K28"/>
    <mergeCell ref="B2:K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Introduction</vt:lpstr>
      <vt:lpstr>Analysis table</vt:lpstr>
      <vt:lpstr>Glossary and explanatory notes</vt:lpstr>
      <vt:lpstr>Pivot tables</vt:lpstr>
      <vt:lpstr>DASHBOARD</vt:lpstr>
      <vt:lpstr>Summary table</vt:lpstr>
      <vt:lpstr>Review quarters</vt:lpstr>
      <vt:lpstr>Data validation</vt:lpstr>
      <vt:lpstr>Copyright information</vt:lpstr>
      <vt:lpstr>Down</vt:lpstr>
      <vt:lpstr>N</vt:lpstr>
      <vt:lpstr>None</vt:lpstr>
      <vt:lpstr>None1</vt:lpstr>
      <vt:lpstr>DASHBOARD!Print_Area</vt:lpstr>
      <vt:lpstr>Up</vt:lpstr>
      <vt:lpstr>Y</vt:lpstr>
    </vt:vector>
  </TitlesOfParts>
  <Company>NCVER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Nadine Schuil</dc:creator>
  <cp:lastModifiedBy>Luke Westle</cp:lastModifiedBy>
  <cp:lastPrinted>2017-12-11T01:32:49Z</cp:lastPrinted>
  <dcterms:created xsi:type="dcterms:W3CDTF">2017-07-28T04:01:35Z</dcterms:created>
  <dcterms:modified xsi:type="dcterms:W3CDTF">2023-03-05T23:31:41Z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